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talinajoya/Dropbox/Cat varios/MBA/Académico/TOG/Corridas financieras/"/>
    </mc:Choice>
  </mc:AlternateContent>
  <xr:revisionPtr revIDLastSave="0" documentId="13_ncr:1_{42D08ACA-97FC-F84A-B8FF-AE34B4F96767}" xr6:coauthVersionLast="47" xr6:coauthVersionMax="47" xr10:uidLastSave="{00000000-0000-0000-0000-000000000000}"/>
  <bookViews>
    <workbookView xWindow="0" yWindow="500" windowWidth="34260" windowHeight="20180" tabRatio="1000" xr2:uid="{00000000-000D-0000-FFFF-FFFF00000000}"/>
  </bookViews>
  <sheets>
    <sheet name="Concentrado" sheetId="43" r:id="rId1"/>
    <sheet name="DATOS" sheetId="1" r:id="rId2"/>
    <sheet name="A 01" sheetId="2" r:id="rId3"/>
    <sheet name="A 02" sheetId="7" r:id="rId4"/>
    <sheet name="A 03" sheetId="20" r:id="rId5"/>
    <sheet name="A 04" sheetId="25" r:id="rId6"/>
    <sheet name="A 05" sheetId="26" r:id="rId7"/>
    <sheet name="A 06" sheetId="27" r:id="rId8"/>
    <sheet name="A 07" sheetId="8" r:id="rId9"/>
    <sheet name="A 08" sheetId="28" r:id="rId10"/>
    <sheet name="A 09" sheetId="29" r:id="rId11"/>
    <sheet name="A 10" sheetId="30" r:id="rId12"/>
    <sheet name="A 11" sheetId="31" r:id="rId13"/>
    <sheet name="A 12" sheetId="32" r:id="rId14"/>
    <sheet name="B 01" sheetId="39" r:id="rId15"/>
    <sheet name="B 02" sheetId="41" r:id="rId16"/>
    <sheet name="B 03" sheetId="42" r:id="rId17"/>
    <sheet name="B 04" sheetId="9" r:id="rId18"/>
    <sheet name="B 05" sheetId="4" r:id="rId19"/>
    <sheet name="B 06" sheetId="10" r:id="rId20"/>
    <sheet name="C 01" sheetId="11" r:id="rId21"/>
    <sheet name="C 02" sheetId="12" r:id="rId22"/>
    <sheet name="C 03" sheetId="33" r:id="rId23"/>
    <sheet name="D 01" sheetId="40" r:id="rId24"/>
    <sheet name="D 02" sheetId="13" r:id="rId25"/>
    <sheet name="D 03" sheetId="34" r:id="rId26"/>
    <sheet name="D 04" sheetId="14" r:id="rId27"/>
    <sheet name="E 01" sheetId="15" r:id="rId28"/>
    <sheet name="E 02" sheetId="16" r:id="rId29"/>
    <sheet name="E 03" sheetId="17" r:id="rId30"/>
    <sheet name="F 01" sheetId="35" r:id="rId31"/>
    <sheet name="F 02" sheetId="36" r:id="rId32"/>
    <sheet name="F 03" sheetId="18" r:id="rId33"/>
    <sheet name="F 04" sheetId="19" r:id="rId3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9" i="20" l="1"/>
  <c r="AH30" i="43"/>
  <c r="E36" i="19"/>
  <c r="E47" i="19"/>
  <c r="E30" i="19"/>
  <c r="AG30" i="43"/>
  <c r="AG25" i="43"/>
  <c r="AG26" i="43"/>
  <c r="AG24" i="43"/>
  <c r="E35" i="18"/>
  <c r="E44" i="18"/>
  <c r="E29" i="18"/>
  <c r="AF25" i="43"/>
  <c r="AE30" i="43"/>
  <c r="F27" i="36"/>
  <c r="F28" i="36"/>
  <c r="F30" i="36"/>
  <c r="F31" i="36"/>
  <c r="F32" i="36"/>
  <c r="E40" i="35"/>
  <c r="E49" i="35"/>
  <c r="E35" i="17"/>
  <c r="E35" i="16"/>
  <c r="E44" i="16"/>
  <c r="E36" i="15"/>
  <c r="E45" i="15"/>
  <c r="AA30" i="43"/>
  <c r="E35" i="14"/>
  <c r="E45" i="14"/>
  <c r="F27" i="14"/>
  <c r="G27" i="14" s="1"/>
  <c r="AA26" i="43" s="1"/>
  <c r="F26" i="14"/>
  <c r="F25" i="14"/>
  <c r="E41" i="34"/>
  <c r="E51" i="34"/>
  <c r="Y30" i="43"/>
  <c r="E37" i="40"/>
  <c r="E39" i="33"/>
  <c r="E35" i="12"/>
  <c r="E35" i="11"/>
  <c r="C53" i="11"/>
  <c r="T30" i="43"/>
  <c r="E35" i="10"/>
  <c r="E45" i="10"/>
  <c r="D27" i="10"/>
  <c r="D26" i="10"/>
  <c r="S30" i="43"/>
  <c r="E35" i="4"/>
  <c r="S34" i="43" s="1"/>
  <c r="G53" i="4"/>
  <c r="E45" i="4"/>
  <c r="E35" i="9"/>
  <c r="E45" i="9"/>
  <c r="E35" i="42"/>
  <c r="E36" i="41"/>
  <c r="E36" i="39"/>
  <c r="E46" i="39"/>
  <c r="C48" i="39"/>
  <c r="C49" i="39"/>
  <c r="C50" i="39"/>
  <c r="C51" i="39"/>
  <c r="C52" i="39"/>
  <c r="C53" i="39"/>
  <c r="C47" i="39"/>
  <c r="F26" i="39"/>
  <c r="F27" i="39"/>
  <c r="F25" i="39"/>
  <c r="D27" i="39"/>
  <c r="D26" i="39"/>
  <c r="D25" i="39"/>
  <c r="J15" i="43"/>
  <c r="E43" i="32"/>
  <c r="E53" i="32"/>
  <c r="E42" i="31"/>
  <c r="E52" i="31"/>
  <c r="L30" i="43"/>
  <c r="E41" i="30"/>
  <c r="E51" i="30"/>
  <c r="E41" i="29"/>
  <c r="E51" i="29"/>
  <c r="E41" i="28"/>
  <c r="E51" i="28"/>
  <c r="E34" i="28"/>
  <c r="G27" i="28"/>
  <c r="G28" i="28"/>
  <c r="G26" i="28"/>
  <c r="F32" i="28"/>
  <c r="F31" i="28"/>
  <c r="F30" i="28"/>
  <c r="F27" i="28"/>
  <c r="F28" i="28"/>
  <c r="F26" i="28"/>
  <c r="E36" i="8"/>
  <c r="E46" i="8"/>
  <c r="H29" i="43"/>
  <c r="I26" i="43"/>
  <c r="I24" i="43"/>
  <c r="H25" i="43"/>
  <c r="H26" i="43"/>
  <c r="H9" i="43"/>
  <c r="H11" i="43"/>
  <c r="H12" i="43"/>
  <c r="H13" i="43"/>
  <c r="H14" i="43"/>
  <c r="H15" i="43" s="1"/>
  <c r="H17" i="43"/>
  <c r="H19" i="43"/>
  <c r="H20" i="43"/>
  <c r="H21" i="43"/>
  <c r="H22" i="43"/>
  <c r="H24" i="43"/>
  <c r="H28" i="43"/>
  <c r="H30" i="43"/>
  <c r="H32" i="43"/>
  <c r="H34" i="43"/>
  <c r="H47" i="43"/>
  <c r="E41" i="27"/>
  <c r="E51" i="27"/>
  <c r="E41" i="26"/>
  <c r="E41" i="25"/>
  <c r="E42" i="20"/>
  <c r="E36" i="7"/>
  <c r="E46" i="7"/>
  <c r="C32" i="43"/>
  <c r="C29" i="43"/>
  <c r="C28" i="43"/>
  <c r="C25" i="43"/>
  <c r="C26" i="43"/>
  <c r="C24" i="43"/>
  <c r="E44" i="2"/>
  <c r="C34" i="43" s="1"/>
  <c r="E54" i="2"/>
  <c r="C59" i="2"/>
  <c r="C58" i="2"/>
  <c r="C56" i="2"/>
  <c r="C57" i="2"/>
  <c r="C55" i="2"/>
  <c r="E37" i="2"/>
  <c r="G34" i="2"/>
  <c r="G35" i="2"/>
  <c r="G33" i="2"/>
  <c r="F33" i="2"/>
  <c r="F29" i="2"/>
  <c r="F30" i="2"/>
  <c r="F28" i="2"/>
  <c r="D30" i="2"/>
  <c r="D29" i="2"/>
  <c r="F34" i="2" s="1"/>
  <c r="D28" i="2"/>
  <c r="U25" i="43"/>
  <c r="U24" i="43"/>
  <c r="G26" i="11"/>
  <c r="G27" i="12"/>
  <c r="G26" i="12"/>
  <c r="G25" i="12"/>
  <c r="G29" i="40"/>
  <c r="G28" i="40"/>
  <c r="G27" i="40"/>
  <c r="Y32" i="43"/>
  <c r="Y47" i="43" s="1"/>
  <c r="Y25" i="43"/>
  <c r="Y24" i="43"/>
  <c r="Y22" i="43"/>
  <c r="Y21" i="43"/>
  <c r="Y20" i="43"/>
  <c r="Y19" i="43"/>
  <c r="Y17" i="43"/>
  <c r="Y13" i="43"/>
  <c r="Y15" i="43" s="1"/>
  <c r="Y14" i="43"/>
  <c r="Y12" i="43"/>
  <c r="Y11" i="43"/>
  <c r="Y9" i="43"/>
  <c r="G26" i="13"/>
  <c r="G25" i="13"/>
  <c r="F26" i="13"/>
  <c r="F27" i="13"/>
  <c r="Y26" i="43" s="1"/>
  <c r="F25" i="13"/>
  <c r="G27" i="15"/>
  <c r="G26" i="15"/>
  <c r="G25" i="15"/>
  <c r="G25" i="16"/>
  <c r="G27" i="16"/>
  <c r="G26" i="16"/>
  <c r="G27" i="17"/>
  <c r="G26" i="17"/>
  <c r="G25" i="17"/>
  <c r="AH32" i="43"/>
  <c r="AH29" i="43"/>
  <c r="AH22" i="43"/>
  <c r="AH21" i="43"/>
  <c r="AH19" i="43"/>
  <c r="AH17" i="43"/>
  <c r="AH13" i="43"/>
  <c r="AH14" i="43"/>
  <c r="AH12" i="43"/>
  <c r="AH11" i="43"/>
  <c r="AH9" i="43"/>
  <c r="AG34" i="43"/>
  <c r="AG32" i="43"/>
  <c r="AG28" i="43"/>
  <c r="AG29" i="43"/>
  <c r="AG22" i="43"/>
  <c r="AG21" i="43"/>
  <c r="AG20" i="43"/>
  <c r="AG19" i="43"/>
  <c r="AG17" i="43"/>
  <c r="AG13" i="43"/>
  <c r="AG14" i="43"/>
  <c r="AG12" i="43"/>
  <c r="AG11" i="43"/>
  <c r="AG9" i="43"/>
  <c r="F25" i="18"/>
  <c r="G25" i="18" s="1"/>
  <c r="F28" i="19"/>
  <c r="G28" i="19" s="1"/>
  <c r="F27" i="19"/>
  <c r="AH25" i="43" s="1"/>
  <c r="F26" i="19"/>
  <c r="G26" i="19" s="1"/>
  <c r="G27" i="19"/>
  <c r="G27" i="18"/>
  <c r="G26" i="18"/>
  <c r="AA32" i="43"/>
  <c r="AA29" i="43"/>
  <c r="AA17" i="43"/>
  <c r="AA13" i="43"/>
  <c r="AA14" i="43"/>
  <c r="AA12" i="43"/>
  <c r="AA11" i="43"/>
  <c r="AA9" i="43"/>
  <c r="G26" i="14"/>
  <c r="AA25" i="43" s="1"/>
  <c r="G25" i="14"/>
  <c r="T32" i="43"/>
  <c r="T21" i="43"/>
  <c r="T22" i="43"/>
  <c r="T20" i="43"/>
  <c r="T19" i="43"/>
  <c r="T17" i="43"/>
  <c r="T11" i="43"/>
  <c r="T13" i="43"/>
  <c r="T14" i="43"/>
  <c r="T15" i="43" s="1"/>
  <c r="T12" i="43"/>
  <c r="T9" i="43"/>
  <c r="F27" i="10"/>
  <c r="G27" i="10" s="1"/>
  <c r="T26" i="43" s="1"/>
  <c r="F26" i="10"/>
  <c r="G26" i="10" s="1"/>
  <c r="T25" i="43" s="1"/>
  <c r="F25" i="10"/>
  <c r="G25" i="10" s="1"/>
  <c r="T24" i="43" s="1"/>
  <c r="S45" i="43"/>
  <c r="S43" i="43"/>
  <c r="S32" i="43"/>
  <c r="S29" i="43"/>
  <c r="E29" i="4"/>
  <c r="S28" i="43"/>
  <c r="S25" i="43"/>
  <c r="S26" i="43"/>
  <c r="S24" i="43"/>
  <c r="S22" i="43"/>
  <c r="S21" i="43"/>
  <c r="S20" i="43"/>
  <c r="S19" i="43"/>
  <c r="S17" i="43"/>
  <c r="S13" i="43"/>
  <c r="S14" i="43"/>
  <c r="S12" i="43"/>
  <c r="S11" i="43"/>
  <c r="S9" i="43"/>
  <c r="C56" i="4"/>
  <c r="C55" i="4"/>
  <c r="C54" i="4"/>
  <c r="C53" i="4"/>
  <c r="C52" i="4"/>
  <c r="C51" i="4"/>
  <c r="C50" i="4"/>
  <c r="C49" i="4"/>
  <c r="C48" i="4"/>
  <c r="C47" i="4"/>
  <c r="C46" i="4"/>
  <c r="F25" i="4"/>
  <c r="G27" i="4"/>
  <c r="G26" i="4"/>
  <c r="AE29" i="43"/>
  <c r="AF29" i="43"/>
  <c r="AB29" i="43"/>
  <c r="AC29" i="43"/>
  <c r="R25" i="43"/>
  <c r="R26" i="43"/>
  <c r="R24" i="43"/>
  <c r="G27" i="9"/>
  <c r="G26" i="9"/>
  <c r="G25" i="9"/>
  <c r="Q25" i="43"/>
  <c r="Q26" i="43"/>
  <c r="Q24" i="43"/>
  <c r="G27" i="42"/>
  <c r="G26" i="42"/>
  <c r="G25" i="42"/>
  <c r="P29" i="43"/>
  <c r="Q29" i="43"/>
  <c r="G27" i="41"/>
  <c r="G26" i="41"/>
  <c r="G25" i="41"/>
  <c r="G26" i="39"/>
  <c r="G25" i="39"/>
  <c r="M32" i="43"/>
  <c r="M29" i="43"/>
  <c r="M22" i="43"/>
  <c r="M21" i="43"/>
  <c r="M20" i="43"/>
  <c r="M19" i="43"/>
  <c r="M17" i="43"/>
  <c r="M13" i="43"/>
  <c r="M14" i="43"/>
  <c r="M12" i="43"/>
  <c r="M9" i="43"/>
  <c r="M11" i="43"/>
  <c r="F32" i="31"/>
  <c r="F31" i="31"/>
  <c r="G27" i="31" s="1"/>
  <c r="M25" i="43" s="1"/>
  <c r="F30" i="31"/>
  <c r="F28" i="31"/>
  <c r="F27" i="31"/>
  <c r="F26" i="31"/>
  <c r="G26" i="31" s="1"/>
  <c r="M24" i="43" s="1"/>
  <c r="L32" i="43"/>
  <c r="F32" i="30"/>
  <c r="F31" i="30"/>
  <c r="G27" i="30" s="1"/>
  <c r="L25" i="43" s="1"/>
  <c r="F30" i="30"/>
  <c r="G26" i="30" s="1"/>
  <c r="L24" i="43" s="1"/>
  <c r="F28" i="30"/>
  <c r="F27" i="30"/>
  <c r="F26" i="30"/>
  <c r="J29" i="43"/>
  <c r="F32" i="29"/>
  <c r="F31" i="29"/>
  <c r="G27" i="29" s="1"/>
  <c r="K25" i="43" s="1"/>
  <c r="F30" i="29"/>
  <c r="F28" i="29"/>
  <c r="F27" i="29"/>
  <c r="F26" i="29"/>
  <c r="J26" i="43"/>
  <c r="G25" i="8"/>
  <c r="F27" i="8"/>
  <c r="G27" i="8" s="1"/>
  <c r="F26" i="8"/>
  <c r="G26" i="8" s="1"/>
  <c r="I25" i="43" s="1"/>
  <c r="F25" i="8"/>
  <c r="F25" i="7"/>
  <c r="G25" i="7" s="1"/>
  <c r="F26" i="27"/>
  <c r="G26" i="27" s="1"/>
  <c r="F27" i="27"/>
  <c r="F28" i="27"/>
  <c r="G28" i="27" s="1"/>
  <c r="F32" i="27"/>
  <c r="F31" i="27"/>
  <c r="F30" i="27"/>
  <c r="G28" i="26"/>
  <c r="AH24" i="43" l="1"/>
  <c r="AH26" i="43"/>
  <c r="AG15" i="43"/>
  <c r="G27" i="13"/>
  <c r="E29" i="13"/>
  <c r="Y28" i="43" s="1"/>
  <c r="E29" i="10"/>
  <c r="T28" i="43" s="1"/>
  <c r="G28" i="31"/>
  <c r="M26" i="43" s="1"/>
  <c r="G28" i="30"/>
  <c r="G26" i="29"/>
  <c r="K24" i="43" s="1"/>
  <c r="J24" i="43"/>
  <c r="J25" i="43"/>
  <c r="G27" i="27"/>
  <c r="E34" i="27" s="1"/>
  <c r="F35" i="2"/>
  <c r="D24" i="43"/>
  <c r="S47" i="43"/>
  <c r="M15" i="43"/>
  <c r="S15" i="43"/>
  <c r="AH15" i="43"/>
  <c r="AA47" i="43"/>
  <c r="T47" i="43"/>
  <c r="AA15" i="43"/>
  <c r="AA24" i="43"/>
  <c r="E29" i="14"/>
  <c r="AA28" i="43" s="1"/>
  <c r="E34" i="31"/>
  <c r="M28" i="43" s="1"/>
  <c r="G28" i="29"/>
  <c r="AH28" i="43" l="1"/>
  <c r="D31" i="19"/>
  <c r="E34" i="30"/>
  <c r="L28" i="43" s="1"/>
  <c r="L26" i="43"/>
  <c r="E34" i="29"/>
  <c r="K28" i="43" s="1"/>
  <c r="K26" i="43"/>
  <c r="F34" i="30"/>
  <c r="L22" i="43"/>
  <c r="L21" i="43"/>
  <c r="L20" i="43"/>
  <c r="L19" i="43"/>
  <c r="L17" i="43"/>
  <c r="L13" i="43"/>
  <c r="L14" i="43"/>
  <c r="L12" i="43"/>
  <c r="L11" i="43"/>
  <c r="L47" i="43" s="1"/>
  <c r="L9" i="43"/>
  <c r="AG47" i="43"/>
  <c r="AH47" i="43"/>
  <c r="M47" i="43"/>
  <c r="K32" i="43"/>
  <c r="K17" i="43"/>
  <c r="K13" i="43"/>
  <c r="K14" i="43"/>
  <c r="K12" i="43"/>
  <c r="K11" i="43"/>
  <c r="K9" i="43"/>
  <c r="J32" i="43"/>
  <c r="L15" i="43" l="1"/>
  <c r="K15" i="43"/>
  <c r="D38" i="2"/>
  <c r="K47" i="43"/>
  <c r="J17" i="43"/>
  <c r="J13" i="43"/>
  <c r="J14" i="43"/>
  <c r="J12" i="43"/>
  <c r="J11" i="43"/>
  <c r="J47" i="43" s="1"/>
  <c r="J9" i="43"/>
  <c r="I32" i="43"/>
  <c r="I17" i="43"/>
  <c r="I13" i="43"/>
  <c r="I14" i="43"/>
  <c r="I12" i="43"/>
  <c r="I9" i="43"/>
  <c r="I11" i="43"/>
  <c r="I15" i="43" l="1"/>
  <c r="I47" i="43"/>
  <c r="C51" i="43"/>
  <c r="C50" i="43"/>
  <c r="C17" i="43" l="1"/>
  <c r="C13" i="43"/>
  <c r="C14" i="43"/>
  <c r="C12" i="43"/>
  <c r="C11" i="43"/>
  <c r="C47" i="43" s="1"/>
  <c r="C9" i="43"/>
  <c r="C15" i="43" l="1"/>
  <c r="C52" i="34"/>
  <c r="C53" i="34"/>
  <c r="C54" i="34"/>
  <c r="C55" i="34"/>
  <c r="C56" i="34"/>
  <c r="C57" i="34"/>
  <c r="F25" i="41"/>
  <c r="C62" i="34" l="1"/>
  <c r="E65" i="2"/>
  <c r="F27" i="7" l="1"/>
  <c r="G27" i="7" s="1"/>
  <c r="F26" i="7"/>
  <c r="E59" i="7"/>
  <c r="G26" i="7" l="1"/>
  <c r="E29" i="7"/>
  <c r="D30" i="7" s="1"/>
  <c r="O30" i="43"/>
  <c r="A43" i="43"/>
  <c r="A44" i="43"/>
  <c r="A45" i="43"/>
  <c r="A42" i="43"/>
  <c r="A33" i="43"/>
  <c r="A34" i="43"/>
  <c r="A35" i="43"/>
  <c r="A36" i="43"/>
  <c r="A37" i="43"/>
  <c r="A38" i="43"/>
  <c r="A40" i="43"/>
  <c r="A32" i="43"/>
  <c r="AF32" i="43"/>
  <c r="AF17" i="43"/>
  <c r="AF12" i="43"/>
  <c r="AF13" i="43"/>
  <c r="AF14" i="43"/>
  <c r="AF11" i="43"/>
  <c r="AF9" i="43"/>
  <c r="F26" i="36"/>
  <c r="AE32" i="43"/>
  <c r="AE17" i="43"/>
  <c r="AE12" i="43"/>
  <c r="AE13" i="43"/>
  <c r="AE14" i="43"/>
  <c r="AE11" i="43"/>
  <c r="AE9" i="43"/>
  <c r="F32" i="35"/>
  <c r="F31" i="35"/>
  <c r="F30" i="35"/>
  <c r="F28" i="35"/>
  <c r="F27" i="35"/>
  <c r="F26" i="35"/>
  <c r="AD32" i="43"/>
  <c r="AD17" i="43"/>
  <c r="AD12" i="43"/>
  <c r="AD13" i="43"/>
  <c r="AD14" i="43"/>
  <c r="AD11" i="43"/>
  <c r="AD9" i="43"/>
  <c r="F27" i="17"/>
  <c r="AD26" i="43" s="1"/>
  <c r="F26" i="17"/>
  <c r="AD25" i="43" s="1"/>
  <c r="F25" i="17"/>
  <c r="AD24" i="43" s="1"/>
  <c r="AC32" i="43"/>
  <c r="AC17" i="43"/>
  <c r="AC12" i="43"/>
  <c r="AC13" i="43"/>
  <c r="AC14" i="43"/>
  <c r="AC11" i="43"/>
  <c r="AC9" i="43"/>
  <c r="F27" i="16"/>
  <c r="AC26" i="43" s="1"/>
  <c r="F26" i="16"/>
  <c r="AC25" i="43" s="1"/>
  <c r="F25" i="16"/>
  <c r="AC24" i="43" s="1"/>
  <c r="AB32" i="43"/>
  <c r="AB21" i="43"/>
  <c r="AB19" i="43"/>
  <c r="AB17" i="43"/>
  <c r="AB12" i="43"/>
  <c r="AB13" i="43"/>
  <c r="AB14" i="43"/>
  <c r="AB11" i="43"/>
  <c r="AB9" i="43"/>
  <c r="F27" i="15"/>
  <c r="AB26" i="43" s="1"/>
  <c r="F26" i="15"/>
  <c r="AB25" i="43" s="1"/>
  <c r="F25" i="15"/>
  <c r="AB24" i="43" s="1"/>
  <c r="Z32" i="43"/>
  <c r="Z17" i="43"/>
  <c r="Z12" i="43"/>
  <c r="Z13" i="43"/>
  <c r="Z14" i="43"/>
  <c r="Z11" i="43"/>
  <c r="Z9" i="43"/>
  <c r="F32" i="34"/>
  <c r="F31" i="34"/>
  <c r="F30" i="34"/>
  <c r="F28" i="34"/>
  <c r="F27" i="34"/>
  <c r="F26" i="34"/>
  <c r="X32" i="43"/>
  <c r="X17" i="43"/>
  <c r="X12" i="43"/>
  <c r="X13" i="43"/>
  <c r="X14" i="43"/>
  <c r="X11" i="43"/>
  <c r="X9" i="43"/>
  <c r="F29" i="40"/>
  <c r="X26" i="43" s="1"/>
  <c r="F28" i="40"/>
  <c r="X25" i="43" s="1"/>
  <c r="F27" i="40"/>
  <c r="W32" i="43"/>
  <c r="W17" i="43"/>
  <c r="W12" i="43"/>
  <c r="W13" i="43"/>
  <c r="W14" i="43"/>
  <c r="W11" i="43"/>
  <c r="W9" i="43"/>
  <c r="F32" i="33"/>
  <c r="F31" i="33"/>
  <c r="F30" i="33"/>
  <c r="F28" i="33"/>
  <c r="F27" i="33"/>
  <c r="F26" i="33"/>
  <c r="V32" i="43"/>
  <c r="V17" i="43"/>
  <c r="V12" i="43"/>
  <c r="V13" i="43"/>
  <c r="V14" i="43"/>
  <c r="V11" i="43"/>
  <c r="V9" i="43"/>
  <c r="F27" i="12"/>
  <c r="V26" i="43" s="1"/>
  <c r="F26" i="12"/>
  <c r="V25" i="43" s="1"/>
  <c r="F25" i="12"/>
  <c r="V24" i="43" s="1"/>
  <c r="U32" i="43"/>
  <c r="U17" i="43"/>
  <c r="U12" i="43"/>
  <c r="U13" i="43"/>
  <c r="U14" i="43"/>
  <c r="U11" i="43"/>
  <c r="U9" i="43"/>
  <c r="F27" i="11"/>
  <c r="U26" i="43" s="1"/>
  <c r="F26" i="11"/>
  <c r="F25" i="11"/>
  <c r="O39" i="43"/>
  <c r="O32" i="43"/>
  <c r="O17" i="43"/>
  <c r="O12" i="43"/>
  <c r="O13" i="43"/>
  <c r="O14" i="43"/>
  <c r="O11" i="43"/>
  <c r="O9" i="43"/>
  <c r="R32" i="43"/>
  <c r="R17" i="43"/>
  <c r="R12" i="43"/>
  <c r="R13" i="43"/>
  <c r="R14" i="43"/>
  <c r="R11" i="43"/>
  <c r="R9" i="43"/>
  <c r="F27" i="9"/>
  <c r="F26" i="9"/>
  <c r="F25" i="9"/>
  <c r="Q32" i="43"/>
  <c r="Q17" i="43"/>
  <c r="Q12" i="43"/>
  <c r="Q13" i="43"/>
  <c r="Q14" i="43"/>
  <c r="Q11" i="43"/>
  <c r="Q9" i="43"/>
  <c r="F27" i="42"/>
  <c r="F26" i="42"/>
  <c r="F25" i="42"/>
  <c r="P39" i="43"/>
  <c r="P32" i="43"/>
  <c r="P17" i="43"/>
  <c r="P12" i="43"/>
  <c r="P13" i="43"/>
  <c r="P14" i="43"/>
  <c r="P11" i="43"/>
  <c r="P9" i="43"/>
  <c r="F27" i="41"/>
  <c r="P26" i="43" s="1"/>
  <c r="F26" i="41"/>
  <c r="P25" i="43" s="1"/>
  <c r="P24" i="43"/>
  <c r="O24" i="43"/>
  <c r="N39" i="43"/>
  <c r="N32" i="43"/>
  <c r="N17" i="43"/>
  <c r="N12" i="43"/>
  <c r="N13" i="43"/>
  <c r="N14" i="43"/>
  <c r="N11" i="43"/>
  <c r="N9" i="43"/>
  <c r="F32" i="32"/>
  <c r="F31" i="32"/>
  <c r="F30" i="32"/>
  <c r="F28" i="32"/>
  <c r="F27" i="32"/>
  <c r="F26" i="32"/>
  <c r="F32" i="43"/>
  <c r="F17" i="43"/>
  <c r="F12" i="43"/>
  <c r="F13" i="43"/>
  <c r="F14" i="43"/>
  <c r="F11" i="43"/>
  <c r="F9" i="43"/>
  <c r="F32" i="25"/>
  <c r="F31" i="25"/>
  <c r="F30" i="25"/>
  <c r="F28" i="25"/>
  <c r="G28" i="25" s="1"/>
  <c r="F26" i="43" s="1"/>
  <c r="F27" i="25"/>
  <c r="F26" i="25"/>
  <c r="E32" i="43"/>
  <c r="E17" i="43"/>
  <c r="E12" i="43"/>
  <c r="E13" i="43"/>
  <c r="E14" i="43"/>
  <c r="E11" i="43"/>
  <c r="E9" i="43"/>
  <c r="F33" i="20"/>
  <c r="F32" i="20"/>
  <c r="F31" i="20"/>
  <c r="F29" i="20"/>
  <c r="F28" i="20"/>
  <c r="F27" i="20"/>
  <c r="G32" i="43"/>
  <c r="D43" i="43"/>
  <c r="D45" i="43"/>
  <c r="D32" i="43"/>
  <c r="D25" i="43"/>
  <c r="D26" i="43"/>
  <c r="D17" i="43"/>
  <c r="D12" i="43"/>
  <c r="D13" i="43"/>
  <c r="D14" i="43"/>
  <c r="D11" i="43"/>
  <c r="D9" i="43"/>
  <c r="G19" i="43"/>
  <c r="G21" i="43"/>
  <c r="G22" i="43"/>
  <c r="G17" i="43"/>
  <c r="G12" i="43"/>
  <c r="G13" i="43"/>
  <c r="G14" i="43"/>
  <c r="G11" i="43"/>
  <c r="F27" i="26"/>
  <c r="F28" i="26"/>
  <c r="F26" i="26"/>
  <c r="F31" i="26"/>
  <c r="F32" i="26"/>
  <c r="F30" i="26"/>
  <c r="G9" i="43"/>
  <c r="C55" i="26"/>
  <c r="C51" i="42"/>
  <c r="C50" i="42"/>
  <c r="C49" i="42"/>
  <c r="C48" i="42"/>
  <c r="C47" i="42"/>
  <c r="C46" i="42"/>
  <c r="E34" i="42"/>
  <c r="Q33" i="43" s="1"/>
  <c r="E19" i="42"/>
  <c r="E18" i="42"/>
  <c r="Q19" i="43" s="1"/>
  <c r="E35" i="41"/>
  <c r="P33" i="43" s="1"/>
  <c r="E19" i="41"/>
  <c r="E18" i="41"/>
  <c r="P19" i="43" s="1"/>
  <c r="C52" i="41"/>
  <c r="C51" i="41"/>
  <c r="C50" i="41"/>
  <c r="C49" i="41"/>
  <c r="C48" i="41"/>
  <c r="C47" i="41"/>
  <c r="E36" i="40"/>
  <c r="X33" i="43" s="1"/>
  <c r="C55" i="40"/>
  <c r="C54" i="40"/>
  <c r="C53" i="40"/>
  <c r="C52" i="40"/>
  <c r="C51" i="40"/>
  <c r="C50" i="40"/>
  <c r="C49" i="40"/>
  <c r="C48" i="40"/>
  <c r="E21" i="40"/>
  <c r="X20" i="43" s="1"/>
  <c r="E20" i="40"/>
  <c r="X19" i="43" s="1"/>
  <c r="E35" i="39"/>
  <c r="O33" i="43" s="1"/>
  <c r="E18" i="39"/>
  <c r="E22" i="39" s="1"/>
  <c r="E19" i="39"/>
  <c r="O20" i="43" s="1"/>
  <c r="E22" i="26"/>
  <c r="E18" i="27"/>
  <c r="C54" i="36"/>
  <c r="C53" i="36"/>
  <c r="C52" i="36"/>
  <c r="C51" i="36"/>
  <c r="C50" i="36"/>
  <c r="E39" i="36"/>
  <c r="AF33" i="43" s="1"/>
  <c r="E19" i="36"/>
  <c r="AF20" i="43" s="1"/>
  <c r="E18" i="36"/>
  <c r="E24" i="36" s="1"/>
  <c r="E39" i="35"/>
  <c r="AE33" i="43" s="1"/>
  <c r="C53" i="35"/>
  <c r="E18" i="35"/>
  <c r="AE19" i="43" s="1"/>
  <c r="C54" i="35"/>
  <c r="C52" i="35"/>
  <c r="C51" i="35"/>
  <c r="C50" i="35"/>
  <c r="E19" i="35"/>
  <c r="E40" i="34"/>
  <c r="Z33" i="43" s="1"/>
  <c r="E19" i="34"/>
  <c r="Z20" i="43" s="1"/>
  <c r="E18" i="34"/>
  <c r="E24" i="34" s="1"/>
  <c r="E38" i="33"/>
  <c r="W33" i="43" s="1"/>
  <c r="C53" i="33"/>
  <c r="C54" i="33"/>
  <c r="C52" i="33"/>
  <c r="C51" i="33"/>
  <c r="C50" i="33"/>
  <c r="E19" i="33"/>
  <c r="W20" i="43" s="1"/>
  <c r="E18" i="33"/>
  <c r="E24" i="33" s="1"/>
  <c r="E42" i="32"/>
  <c r="N33" i="43" s="1"/>
  <c r="C57" i="32"/>
  <c r="C58" i="32"/>
  <c r="C59" i="32"/>
  <c r="C56" i="32"/>
  <c r="C55" i="32"/>
  <c r="C54" i="32"/>
  <c r="E19" i="32"/>
  <c r="N20" i="43" s="1"/>
  <c r="E18" i="32"/>
  <c r="N19" i="43" s="1"/>
  <c r="E41" i="31"/>
  <c r="M33" i="43" s="1"/>
  <c r="C52" i="30"/>
  <c r="C57" i="31"/>
  <c r="C56" i="31"/>
  <c r="C55" i="31"/>
  <c r="C54" i="31"/>
  <c r="C53" i="31"/>
  <c r="E19" i="31"/>
  <c r="E18" i="31"/>
  <c r="E22" i="31" s="1"/>
  <c r="E40" i="30"/>
  <c r="L33" i="43" s="1"/>
  <c r="E40" i="29"/>
  <c r="K33" i="43" s="1"/>
  <c r="C56" i="30"/>
  <c r="C55" i="30"/>
  <c r="C54" i="30"/>
  <c r="C53" i="30"/>
  <c r="E19" i="30"/>
  <c r="E18" i="30"/>
  <c r="E22" i="30" s="1"/>
  <c r="E40" i="28"/>
  <c r="J33" i="43" s="1"/>
  <c r="E40" i="27"/>
  <c r="H33" i="43" s="1"/>
  <c r="C55" i="29"/>
  <c r="C56" i="29"/>
  <c r="C54" i="29"/>
  <c r="C53" i="29"/>
  <c r="C52" i="29"/>
  <c r="E19" i="29"/>
  <c r="K20" i="43" s="1"/>
  <c r="E18" i="29"/>
  <c r="C55" i="28"/>
  <c r="C56" i="28"/>
  <c r="C57" i="28"/>
  <c r="C58" i="28"/>
  <c r="C59" i="28"/>
  <c r="C54" i="28"/>
  <c r="C53" i="28"/>
  <c r="C52" i="28"/>
  <c r="E19" i="28"/>
  <c r="J20" i="43" s="1"/>
  <c r="E18" i="28"/>
  <c r="C55" i="27"/>
  <c r="C56" i="27"/>
  <c r="C54" i="27"/>
  <c r="C53" i="27"/>
  <c r="C52" i="27"/>
  <c r="E19" i="27"/>
  <c r="C57" i="26"/>
  <c r="C54" i="26"/>
  <c r="C53" i="26"/>
  <c r="C52" i="26"/>
  <c r="E40" i="26"/>
  <c r="G33" i="43" s="1"/>
  <c r="E19" i="26"/>
  <c r="G20" i="43" s="1"/>
  <c r="C55" i="25"/>
  <c r="C56" i="25"/>
  <c r="C57" i="25"/>
  <c r="C53" i="25"/>
  <c r="C54" i="25"/>
  <c r="C52" i="25"/>
  <c r="E40" i="25"/>
  <c r="F33" i="43" s="1"/>
  <c r="E19" i="25"/>
  <c r="F20" i="43" s="1"/>
  <c r="E18" i="25"/>
  <c r="E24" i="25" s="1"/>
  <c r="C57" i="20"/>
  <c r="C54" i="20"/>
  <c r="C55" i="20"/>
  <c r="C53" i="20"/>
  <c r="C56" i="20"/>
  <c r="O26" i="43" l="1"/>
  <c r="G27" i="39"/>
  <c r="G27" i="11"/>
  <c r="E29" i="11" s="1"/>
  <c r="G25" i="11"/>
  <c r="G26" i="32"/>
  <c r="G27" i="25"/>
  <c r="F25" i="43" s="1"/>
  <c r="E24" i="28"/>
  <c r="D59" i="28" s="1"/>
  <c r="J19" i="43"/>
  <c r="E22" i="27"/>
  <c r="E22" i="29"/>
  <c r="K19" i="43"/>
  <c r="U15" i="43"/>
  <c r="E22" i="36"/>
  <c r="E29" i="36" s="1"/>
  <c r="AF19" i="43"/>
  <c r="G28" i="36"/>
  <c r="AF26" i="43" s="1"/>
  <c r="AF15" i="43"/>
  <c r="C60" i="36"/>
  <c r="G26" i="36"/>
  <c r="AF24" i="43" s="1"/>
  <c r="G27" i="36"/>
  <c r="D20" i="35"/>
  <c r="E20" i="35" s="1"/>
  <c r="E21" i="35" s="1"/>
  <c r="AE22" i="43" s="1"/>
  <c r="G27" i="35"/>
  <c r="AE25" i="43" s="1"/>
  <c r="AE15" i="43"/>
  <c r="E22" i="35"/>
  <c r="G26" i="35"/>
  <c r="AE20" i="43"/>
  <c r="AD15" i="43"/>
  <c r="E29" i="17"/>
  <c r="AD28" i="43" s="1"/>
  <c r="AC15" i="43"/>
  <c r="E29" i="16"/>
  <c r="AC28" i="43" s="1"/>
  <c r="AB15" i="43"/>
  <c r="D57" i="34"/>
  <c r="D52" i="34"/>
  <c r="D53" i="34"/>
  <c r="D54" i="34"/>
  <c r="D55" i="34"/>
  <c r="D56" i="34"/>
  <c r="G28" i="34"/>
  <c r="Z26" i="43" s="1"/>
  <c r="Z15" i="43"/>
  <c r="G27" i="34"/>
  <c r="Z25" i="43" s="1"/>
  <c r="G26" i="34"/>
  <c r="E22" i="34"/>
  <c r="E29" i="34" s="1"/>
  <c r="D30" i="34" s="1"/>
  <c r="Z19" i="43"/>
  <c r="E31" i="40"/>
  <c r="X28" i="43" s="1"/>
  <c r="X24" i="43"/>
  <c r="X47" i="43"/>
  <c r="X15" i="43"/>
  <c r="G26" i="33"/>
  <c r="W24" i="43" s="1"/>
  <c r="W15" i="43"/>
  <c r="G28" i="33"/>
  <c r="W26" i="43" s="1"/>
  <c r="E22" i="33"/>
  <c r="G27" i="33"/>
  <c r="W25" i="43" s="1"/>
  <c r="W19" i="43"/>
  <c r="E29" i="12"/>
  <c r="V28" i="43" s="1"/>
  <c r="V15" i="43"/>
  <c r="R15" i="43"/>
  <c r="E29" i="9"/>
  <c r="R28" i="43" s="1"/>
  <c r="D20" i="42"/>
  <c r="E20" i="42" s="1"/>
  <c r="E21" i="42" s="1"/>
  <c r="Q22" i="43" s="1"/>
  <c r="E29" i="42"/>
  <c r="Q28" i="43" s="1"/>
  <c r="C56" i="42"/>
  <c r="Q15" i="43"/>
  <c r="Q21" i="43"/>
  <c r="Q20" i="43"/>
  <c r="P15" i="43"/>
  <c r="E29" i="41"/>
  <c r="P28" i="43" s="1"/>
  <c r="C57" i="41"/>
  <c r="E22" i="41"/>
  <c r="D49" i="41" s="1"/>
  <c r="D20" i="41"/>
  <c r="E20" i="41" s="1"/>
  <c r="P20" i="43"/>
  <c r="D29" i="39"/>
  <c r="O28" i="43" s="1"/>
  <c r="O15" i="43"/>
  <c r="O19" i="43"/>
  <c r="O25" i="43"/>
  <c r="G27" i="32"/>
  <c r="N25" i="43" s="1"/>
  <c r="E22" i="32"/>
  <c r="E24" i="32"/>
  <c r="D59" i="32" s="1"/>
  <c r="N15" i="43"/>
  <c r="N24" i="43"/>
  <c r="G28" i="32"/>
  <c r="N26" i="43" s="1"/>
  <c r="D20" i="31"/>
  <c r="E20" i="31" s="1"/>
  <c r="E21" i="31" s="1"/>
  <c r="D20" i="30"/>
  <c r="E20" i="30" s="1"/>
  <c r="E21" i="30" s="1"/>
  <c r="E24" i="30"/>
  <c r="D52" i="30" s="1"/>
  <c r="D20" i="29"/>
  <c r="E20" i="29" s="1"/>
  <c r="E24" i="29"/>
  <c r="D55" i="29" s="1"/>
  <c r="D20" i="28"/>
  <c r="E20" i="28" s="1"/>
  <c r="D58" i="28"/>
  <c r="E22" i="28"/>
  <c r="E34" i="26"/>
  <c r="G28" i="43" s="1"/>
  <c r="G15" i="43"/>
  <c r="G26" i="26"/>
  <c r="G24" i="43" s="1"/>
  <c r="G26" i="25"/>
  <c r="E34" i="25" s="1"/>
  <c r="F28" i="43" s="1"/>
  <c r="E22" i="25"/>
  <c r="E29" i="25" s="1"/>
  <c r="F19" i="43"/>
  <c r="F15" i="43"/>
  <c r="G26" i="43"/>
  <c r="G27" i="26"/>
  <c r="G25" i="43" s="1"/>
  <c r="E25" i="25"/>
  <c r="D26" i="25" s="1"/>
  <c r="D57" i="25"/>
  <c r="D20" i="25"/>
  <c r="E20" i="25" s="1"/>
  <c r="F24" i="43"/>
  <c r="G29" i="20"/>
  <c r="E26" i="43" s="1"/>
  <c r="E35" i="20"/>
  <c r="E28" i="43" s="1"/>
  <c r="G28" i="20"/>
  <c r="E25" i="43" s="1"/>
  <c r="G27" i="20"/>
  <c r="E24" i="43" s="1"/>
  <c r="E15" i="43"/>
  <c r="D15" i="43"/>
  <c r="AE47" i="43"/>
  <c r="W47" i="43"/>
  <c r="Z47" i="43"/>
  <c r="U47" i="43"/>
  <c r="AF47" i="43"/>
  <c r="V47" i="43"/>
  <c r="AD47" i="43"/>
  <c r="P47" i="43"/>
  <c r="AB47" i="43"/>
  <c r="AC47" i="43"/>
  <c r="G47" i="43"/>
  <c r="D47" i="43"/>
  <c r="N47" i="43"/>
  <c r="O47" i="43"/>
  <c r="Q47" i="43"/>
  <c r="R47" i="43"/>
  <c r="G28" i="35"/>
  <c r="AE26" i="43" s="1"/>
  <c r="E29" i="15"/>
  <c r="AB28" i="43" s="1"/>
  <c r="E47" i="43"/>
  <c r="F47" i="43"/>
  <c r="E22" i="42"/>
  <c r="E23" i="42" s="1"/>
  <c r="D25" i="42" s="1"/>
  <c r="E30" i="42" s="1"/>
  <c r="D48" i="41"/>
  <c r="D50" i="41"/>
  <c r="C58" i="40"/>
  <c r="D22" i="40"/>
  <c r="E22" i="40" s="1"/>
  <c r="E24" i="40"/>
  <c r="E25" i="40" s="1"/>
  <c r="C57" i="39"/>
  <c r="D47" i="39"/>
  <c r="D48" i="39"/>
  <c r="D51" i="39"/>
  <c r="D20" i="39"/>
  <c r="E20" i="39" s="1"/>
  <c r="D52" i="39"/>
  <c r="E23" i="39"/>
  <c r="D53" i="39"/>
  <c r="D49" i="39"/>
  <c r="D54" i="39"/>
  <c r="D50" i="39"/>
  <c r="E24" i="26"/>
  <c r="D20" i="26"/>
  <c r="D20" i="36"/>
  <c r="E20" i="36" s="1"/>
  <c r="D53" i="36"/>
  <c r="D52" i="36"/>
  <c r="D51" i="36"/>
  <c r="D54" i="36"/>
  <c r="D50" i="36"/>
  <c r="E25" i="36"/>
  <c r="C60" i="35"/>
  <c r="E24" i="35"/>
  <c r="D20" i="34"/>
  <c r="E20" i="34" s="1"/>
  <c r="E25" i="34"/>
  <c r="D28" i="34" s="1"/>
  <c r="C60" i="33"/>
  <c r="D54" i="33"/>
  <c r="D50" i="33"/>
  <c r="D53" i="33"/>
  <c r="D52" i="33"/>
  <c r="E25" i="33"/>
  <c r="D51" i="33"/>
  <c r="D20" i="33"/>
  <c r="E20" i="33" s="1"/>
  <c r="E29" i="33"/>
  <c r="C64" i="32"/>
  <c r="D20" i="32"/>
  <c r="E20" i="32" s="1"/>
  <c r="E29" i="32"/>
  <c r="D31" i="32" s="1"/>
  <c r="E25" i="32"/>
  <c r="D27" i="32" s="1"/>
  <c r="D55" i="32"/>
  <c r="C63" i="31"/>
  <c r="E24" i="31"/>
  <c r="E25" i="31" s="1"/>
  <c r="C62" i="30"/>
  <c r="E29" i="30"/>
  <c r="D31" i="30" s="1"/>
  <c r="E25" i="30"/>
  <c r="D53" i="30"/>
  <c r="C62" i="29"/>
  <c r="D52" i="29"/>
  <c r="C62" i="28"/>
  <c r="D55" i="28"/>
  <c r="D56" i="28"/>
  <c r="D52" i="28"/>
  <c r="D53" i="28"/>
  <c r="C62" i="27"/>
  <c r="D20" i="27"/>
  <c r="E20" i="27" s="1"/>
  <c r="E24" i="27"/>
  <c r="E25" i="27" s="1"/>
  <c r="C62" i="26"/>
  <c r="C62" i="25"/>
  <c r="D54" i="25"/>
  <c r="D53" i="25"/>
  <c r="E35" i="25"/>
  <c r="D56" i="25"/>
  <c r="D55" i="25"/>
  <c r="C63" i="20"/>
  <c r="E41" i="20"/>
  <c r="E33" i="43" s="1"/>
  <c r="C48" i="19"/>
  <c r="E23" i="19"/>
  <c r="E20" i="2"/>
  <c r="E19" i="20"/>
  <c r="E20" i="43" s="1"/>
  <c r="E18" i="20"/>
  <c r="E19" i="43" s="1"/>
  <c r="E41" i="19"/>
  <c r="C47" i="7"/>
  <c r="E35" i="7"/>
  <c r="D33" i="43" s="1"/>
  <c r="C48" i="7"/>
  <c r="C49" i="7"/>
  <c r="C50" i="7"/>
  <c r="C51" i="7"/>
  <c r="C52" i="7"/>
  <c r="C53" i="7"/>
  <c r="C54" i="7"/>
  <c r="C55" i="7"/>
  <c r="C56" i="7"/>
  <c r="C57" i="7"/>
  <c r="C58" i="7"/>
  <c r="C46" i="13"/>
  <c r="C45" i="18"/>
  <c r="D59" i="2"/>
  <c r="E18" i="17"/>
  <c r="AD19" i="43" s="1"/>
  <c r="C50" i="19"/>
  <c r="C49" i="19"/>
  <c r="E35" i="19"/>
  <c r="AH33" i="43" s="1"/>
  <c r="E20" i="19"/>
  <c r="AH20" i="43" s="1"/>
  <c r="E34" i="18"/>
  <c r="AG33" i="43" s="1"/>
  <c r="E22" i="18"/>
  <c r="D46" i="18" s="1"/>
  <c r="C47" i="18"/>
  <c r="C46" i="18"/>
  <c r="E19" i="18"/>
  <c r="E34" i="17"/>
  <c r="AD33" i="43" s="1"/>
  <c r="C48" i="17"/>
  <c r="C47" i="17"/>
  <c r="C46" i="17"/>
  <c r="C45" i="17"/>
  <c r="E19" i="17"/>
  <c r="AD20" i="43" s="1"/>
  <c r="E34" i="16"/>
  <c r="AC33" i="43" s="1"/>
  <c r="E29" i="35" l="1"/>
  <c r="D56" i="31"/>
  <c r="D28" i="25"/>
  <c r="D54" i="28"/>
  <c r="E29" i="28"/>
  <c r="D32" i="28" s="1"/>
  <c r="E25" i="28"/>
  <c r="D57" i="28"/>
  <c r="D62" i="28" s="1"/>
  <c r="E27" i="2"/>
  <c r="C19" i="43"/>
  <c r="C58" i="19"/>
  <c r="E30" i="41"/>
  <c r="E21" i="28"/>
  <c r="J22" i="43" s="1"/>
  <c r="J21" i="43"/>
  <c r="E21" i="29"/>
  <c r="K22" i="43" s="1"/>
  <c r="K21" i="43"/>
  <c r="E21" i="27"/>
  <c r="E34" i="36"/>
  <c r="AF28" i="43" s="1"/>
  <c r="E21" i="36"/>
  <c r="AF22" i="43" s="1"/>
  <c r="AF21" i="43"/>
  <c r="AE21" i="43"/>
  <c r="D50" i="35"/>
  <c r="D51" i="35"/>
  <c r="E25" i="35"/>
  <c r="D27" i="35" s="1"/>
  <c r="D52" i="35"/>
  <c r="E34" i="35"/>
  <c r="AE24" i="43"/>
  <c r="E22" i="17"/>
  <c r="D48" i="17" s="1"/>
  <c r="C55" i="17"/>
  <c r="D62" i="34"/>
  <c r="E21" i="34"/>
  <c r="Z22" i="43" s="1"/>
  <c r="Z21" i="43"/>
  <c r="Z24" i="43"/>
  <c r="E34" i="34"/>
  <c r="Z28" i="43" s="1"/>
  <c r="E23" i="40"/>
  <c r="X22" i="43" s="1"/>
  <c r="X21" i="43"/>
  <c r="E21" i="33"/>
  <c r="W22" i="43" s="1"/>
  <c r="W21" i="43"/>
  <c r="E33" i="33"/>
  <c r="W28" i="43" s="1"/>
  <c r="E45" i="42"/>
  <c r="E56" i="42" s="1"/>
  <c r="D52" i="41"/>
  <c r="D47" i="41"/>
  <c r="D57" i="41" s="1"/>
  <c r="G57" i="41" s="1"/>
  <c r="D51" i="41"/>
  <c r="E23" i="41"/>
  <c r="D25" i="41" s="1"/>
  <c r="E46" i="41"/>
  <c r="E57" i="41" s="1"/>
  <c r="E21" i="41"/>
  <c r="P22" i="43" s="1"/>
  <c r="P21" i="43"/>
  <c r="E21" i="39"/>
  <c r="O22" i="43" s="1"/>
  <c r="O21" i="43"/>
  <c r="D57" i="39"/>
  <c r="D54" i="32"/>
  <c r="D57" i="32"/>
  <c r="D56" i="32"/>
  <c r="D32" i="32"/>
  <c r="D58" i="32"/>
  <c r="D30" i="32"/>
  <c r="E21" i="32"/>
  <c r="N22" i="43" s="1"/>
  <c r="N21" i="43"/>
  <c r="D26" i="32"/>
  <c r="D28" i="32"/>
  <c r="E34" i="32"/>
  <c r="N28" i="43" s="1"/>
  <c r="D57" i="31"/>
  <c r="D53" i="31"/>
  <c r="D54" i="31"/>
  <c r="D55" i="31"/>
  <c r="E29" i="31"/>
  <c r="D30" i="31" s="1"/>
  <c r="D56" i="30"/>
  <c r="D55" i="30"/>
  <c r="D54" i="30"/>
  <c r="D56" i="29"/>
  <c r="D53" i="29"/>
  <c r="D54" i="29"/>
  <c r="E25" i="29"/>
  <c r="E29" i="29"/>
  <c r="D32" i="29" s="1"/>
  <c r="D27" i="25"/>
  <c r="E25" i="26"/>
  <c r="D26" i="26" s="1"/>
  <c r="E35" i="26" s="1"/>
  <c r="D56" i="26"/>
  <c r="F21" i="43"/>
  <c r="E21" i="25"/>
  <c r="F22" i="43" s="1"/>
  <c r="F29" i="43"/>
  <c r="E51" i="25"/>
  <c r="E62" i="25" s="1"/>
  <c r="E22" i="20"/>
  <c r="D28" i="43"/>
  <c r="D49" i="42"/>
  <c r="D47" i="42"/>
  <c r="D48" i="42"/>
  <c r="D51" i="42"/>
  <c r="D50" i="42"/>
  <c r="D46" i="42"/>
  <c r="D29" i="40"/>
  <c r="D27" i="40"/>
  <c r="E32" i="40" s="1"/>
  <c r="D53" i="40"/>
  <c r="D49" i="40"/>
  <c r="D52" i="40"/>
  <c r="D50" i="40"/>
  <c r="D48" i="40"/>
  <c r="D51" i="40"/>
  <c r="D55" i="40"/>
  <c r="D54" i="40"/>
  <c r="G57" i="39"/>
  <c r="D30" i="39"/>
  <c r="E29" i="26"/>
  <c r="D32" i="26" s="1"/>
  <c r="D57" i="26"/>
  <c r="D32" i="36"/>
  <c r="D30" i="36"/>
  <c r="D31" i="36"/>
  <c r="D26" i="36"/>
  <c r="D28" i="36"/>
  <c r="D27" i="36"/>
  <c r="D60" i="36"/>
  <c r="G60" i="36" s="1"/>
  <c r="D32" i="35"/>
  <c r="D30" i="35"/>
  <c r="D31" i="35"/>
  <c r="D54" i="35"/>
  <c r="D53" i="35"/>
  <c r="D31" i="34"/>
  <c r="D32" i="34"/>
  <c r="D27" i="34"/>
  <c r="D26" i="34"/>
  <c r="G62" i="34"/>
  <c r="D32" i="33"/>
  <c r="D30" i="33"/>
  <c r="D31" i="33"/>
  <c r="D26" i="33"/>
  <c r="D27" i="33"/>
  <c r="D28" i="33"/>
  <c r="D60" i="33"/>
  <c r="G60" i="33" s="1"/>
  <c r="D27" i="31"/>
  <c r="D28" i="31"/>
  <c r="D26" i="31"/>
  <c r="D30" i="30"/>
  <c r="D32" i="30"/>
  <c r="D27" i="30"/>
  <c r="D28" i="30"/>
  <c r="D26" i="30"/>
  <c r="E35" i="30" s="1"/>
  <c r="D62" i="30"/>
  <c r="D28" i="28"/>
  <c r="D27" i="28"/>
  <c r="D26" i="28"/>
  <c r="D31" i="28"/>
  <c r="D30" i="28"/>
  <c r="E29" i="27"/>
  <c r="D32" i="27" s="1"/>
  <c r="D28" i="27"/>
  <c r="D27" i="27"/>
  <c r="D26" i="27"/>
  <c r="D53" i="27"/>
  <c r="D52" i="27"/>
  <c r="D54" i="27"/>
  <c r="D55" i="27"/>
  <c r="D56" i="27"/>
  <c r="D53" i="26"/>
  <c r="D54" i="26"/>
  <c r="D55" i="26"/>
  <c r="D52" i="26"/>
  <c r="D52" i="25"/>
  <c r="D62" i="25" s="1"/>
  <c r="G62" i="25" s="1"/>
  <c r="D20" i="17"/>
  <c r="E20" i="17" s="1"/>
  <c r="E24" i="2"/>
  <c r="E32" i="2" s="1"/>
  <c r="E24" i="20"/>
  <c r="E30" i="20" s="1"/>
  <c r="D20" i="20"/>
  <c r="E20" i="20" s="1"/>
  <c r="D21" i="19"/>
  <c r="D50" i="19"/>
  <c r="D49" i="19"/>
  <c r="D48" i="19"/>
  <c r="C55" i="18"/>
  <c r="D20" i="18"/>
  <c r="D47" i="18"/>
  <c r="E23" i="18"/>
  <c r="D25" i="18" s="1"/>
  <c r="D45" i="18"/>
  <c r="E35" i="15"/>
  <c r="AB33" i="43" s="1"/>
  <c r="C47" i="16"/>
  <c r="C46" i="16"/>
  <c r="C45" i="16"/>
  <c r="E19" i="16"/>
  <c r="E18" i="16"/>
  <c r="AC19" i="43" s="1"/>
  <c r="E34" i="14"/>
  <c r="AA33" i="43" s="1"/>
  <c r="C47" i="13"/>
  <c r="C48" i="13"/>
  <c r="C49" i="13"/>
  <c r="C50" i="13"/>
  <c r="C51" i="13"/>
  <c r="C52" i="13"/>
  <c r="C53" i="13"/>
  <c r="E21" i="15"/>
  <c r="AB22" i="43" s="1"/>
  <c r="C48" i="15"/>
  <c r="C47" i="15"/>
  <c r="C46" i="15"/>
  <c r="E19" i="15"/>
  <c r="AB20" i="43" s="1"/>
  <c r="E22" i="15"/>
  <c r="E34" i="13"/>
  <c r="Y33" i="43" s="1"/>
  <c r="C50" i="14"/>
  <c r="C49" i="14"/>
  <c r="C48" i="14"/>
  <c r="C47" i="14"/>
  <c r="C46" i="14"/>
  <c r="E19" i="14"/>
  <c r="AA20" i="43" s="1"/>
  <c r="E18" i="14"/>
  <c r="AA19" i="43" s="1"/>
  <c r="E19" i="13"/>
  <c r="E18" i="13"/>
  <c r="E34" i="12"/>
  <c r="V33" i="43" s="1"/>
  <c r="E35" i="8"/>
  <c r="I33" i="43" s="1"/>
  <c r="C53" i="12"/>
  <c r="C52" i="12"/>
  <c r="C51" i="12"/>
  <c r="C50" i="12"/>
  <c r="C49" i="12"/>
  <c r="C48" i="12"/>
  <c r="C47" i="12"/>
  <c r="C46" i="12"/>
  <c r="E19" i="12"/>
  <c r="E18" i="12"/>
  <c r="E34" i="11"/>
  <c r="U33" i="43" s="1"/>
  <c r="E34" i="10"/>
  <c r="T33" i="43" s="1"/>
  <c r="C52" i="11"/>
  <c r="C51" i="11"/>
  <c r="C50" i="11"/>
  <c r="C49" i="11"/>
  <c r="C48" i="11"/>
  <c r="C47" i="11"/>
  <c r="C46" i="11"/>
  <c r="E19" i="11"/>
  <c r="U20" i="43" s="1"/>
  <c r="E18" i="11"/>
  <c r="C47" i="10"/>
  <c r="C48" i="10"/>
  <c r="C49" i="10"/>
  <c r="C50" i="10"/>
  <c r="C51" i="10"/>
  <c r="C46" i="10"/>
  <c r="E19" i="10"/>
  <c r="C46" i="9"/>
  <c r="C47" i="9"/>
  <c r="C48" i="9"/>
  <c r="C49" i="9"/>
  <c r="C50" i="9"/>
  <c r="C51" i="9"/>
  <c r="C52" i="9"/>
  <c r="C53" i="9"/>
  <c r="C54" i="9"/>
  <c r="C55" i="9"/>
  <c r="C47" i="8"/>
  <c r="C48" i="8"/>
  <c r="C49" i="8"/>
  <c r="C50" i="8"/>
  <c r="C51" i="8"/>
  <c r="C52" i="8"/>
  <c r="C53" i="8"/>
  <c r="C54" i="8"/>
  <c r="E18" i="10"/>
  <c r="E34" i="9"/>
  <c r="R33" i="43" s="1"/>
  <c r="E19" i="9"/>
  <c r="R20" i="43" s="1"/>
  <c r="E18" i="9"/>
  <c r="E19" i="8"/>
  <c r="I20" i="43" s="1"/>
  <c r="E18" i="8"/>
  <c r="E19" i="4"/>
  <c r="E18" i="4"/>
  <c r="D58" i="19" l="1"/>
  <c r="G58" i="19" s="1"/>
  <c r="AE28" i="43"/>
  <c r="D35" i="35"/>
  <c r="D28" i="35"/>
  <c r="E62" i="30"/>
  <c r="G59" i="30" s="1"/>
  <c r="L29" i="43"/>
  <c r="D62" i="29"/>
  <c r="G62" i="29" s="1"/>
  <c r="E35" i="36"/>
  <c r="E49" i="36" s="1"/>
  <c r="E60" i="36" s="1"/>
  <c r="G57" i="36" s="1"/>
  <c r="D35" i="28"/>
  <c r="E62" i="28" s="1"/>
  <c r="G59" i="28" s="1"/>
  <c r="J30" i="43" s="1"/>
  <c r="J28" i="43"/>
  <c r="D35" i="27"/>
  <c r="E22" i="8"/>
  <c r="D47" i="8" s="1"/>
  <c r="I19" i="43"/>
  <c r="D60" i="35"/>
  <c r="G60" i="35" s="1"/>
  <c r="D26" i="35"/>
  <c r="E21" i="17"/>
  <c r="AD22" i="43" s="1"/>
  <c r="AD21" i="43"/>
  <c r="D20" i="16"/>
  <c r="E20" i="16" s="1"/>
  <c r="AC20" i="43"/>
  <c r="D35" i="34"/>
  <c r="E62" i="34" s="1"/>
  <c r="E47" i="40"/>
  <c r="E58" i="40" s="1"/>
  <c r="X29" i="43"/>
  <c r="E34" i="33"/>
  <c r="D20" i="12"/>
  <c r="E20" i="12" s="1"/>
  <c r="V20" i="43"/>
  <c r="E22" i="12"/>
  <c r="D53" i="12" s="1"/>
  <c r="V19" i="43"/>
  <c r="E22" i="11"/>
  <c r="D47" i="11" s="1"/>
  <c r="U19" i="43"/>
  <c r="E22" i="9"/>
  <c r="D49" i="9" s="1"/>
  <c r="R19" i="43"/>
  <c r="G54" i="41"/>
  <c r="P30" i="43" s="1"/>
  <c r="E57" i="39"/>
  <c r="G54" i="39" s="1"/>
  <c r="O29" i="43"/>
  <c r="D64" i="32"/>
  <c r="G64" i="32" s="1"/>
  <c r="D35" i="32"/>
  <c r="N29" i="43" s="1"/>
  <c r="D31" i="31"/>
  <c r="D63" i="31"/>
  <c r="D32" i="31"/>
  <c r="D35" i="31"/>
  <c r="E63" i="31" s="1"/>
  <c r="G62" i="30"/>
  <c r="D26" i="29"/>
  <c r="D27" i="29"/>
  <c r="D28" i="29"/>
  <c r="D31" i="29"/>
  <c r="D30" i="29"/>
  <c r="G62" i="28"/>
  <c r="D31" i="27"/>
  <c r="D30" i="27"/>
  <c r="D28" i="26"/>
  <c r="D27" i="26"/>
  <c r="E51" i="26"/>
  <c r="E62" i="26" s="1"/>
  <c r="G29" i="43"/>
  <c r="G59" i="25"/>
  <c r="F30" i="43" s="1"/>
  <c r="E21" i="20"/>
  <c r="E22" i="43" s="1"/>
  <c r="E21" i="43"/>
  <c r="E25" i="20"/>
  <c r="D29" i="20" s="1"/>
  <c r="D56" i="42"/>
  <c r="D58" i="40"/>
  <c r="D30" i="26"/>
  <c r="D31" i="26"/>
  <c r="D62" i="27"/>
  <c r="D62" i="26"/>
  <c r="D31" i="25"/>
  <c r="D30" i="25"/>
  <c r="D32" i="25"/>
  <c r="D33" i="20"/>
  <c r="D32" i="20"/>
  <c r="D31" i="20"/>
  <c r="E22" i="4"/>
  <c r="D46" i="4" s="1"/>
  <c r="D27" i="20"/>
  <c r="D28" i="20"/>
  <c r="D20" i="10"/>
  <c r="E20" i="10" s="1"/>
  <c r="E21" i="10" s="1"/>
  <c r="D48" i="15"/>
  <c r="E23" i="15"/>
  <c r="D25" i="15" s="1"/>
  <c r="D56" i="20"/>
  <c r="D57" i="20"/>
  <c r="D54" i="20"/>
  <c r="D53" i="20"/>
  <c r="D55" i="20"/>
  <c r="D55" i="18"/>
  <c r="G55" i="18" s="1"/>
  <c r="E24" i="19"/>
  <c r="D26" i="19" s="1"/>
  <c r="E58" i="19" s="1"/>
  <c r="G55" i="19" s="1"/>
  <c r="D30" i="18"/>
  <c r="E55" i="18" s="1"/>
  <c r="G52" i="18" s="1"/>
  <c r="D46" i="17"/>
  <c r="D45" i="17"/>
  <c r="D47" i="17"/>
  <c r="E23" i="17"/>
  <c r="D25" i="17" s="1"/>
  <c r="E30" i="17" s="1"/>
  <c r="C55" i="16"/>
  <c r="E22" i="16"/>
  <c r="C56" i="15"/>
  <c r="D20" i="15"/>
  <c r="C56" i="14"/>
  <c r="D46" i="15"/>
  <c r="D47" i="15"/>
  <c r="E22" i="14"/>
  <c r="D47" i="14" s="1"/>
  <c r="D20" i="14"/>
  <c r="C56" i="13"/>
  <c r="D20" i="13"/>
  <c r="E20" i="13" s="1"/>
  <c r="E21" i="13" s="1"/>
  <c r="E22" i="13"/>
  <c r="D52" i="13" s="1"/>
  <c r="C56" i="12"/>
  <c r="E23" i="12"/>
  <c r="D51" i="12"/>
  <c r="C56" i="11"/>
  <c r="D20" i="11"/>
  <c r="E20" i="11" s="1"/>
  <c r="D49" i="11"/>
  <c r="D51" i="11"/>
  <c r="E23" i="11"/>
  <c r="E22" i="10"/>
  <c r="E23" i="10" s="1"/>
  <c r="D20" i="9"/>
  <c r="E20" i="9" s="1"/>
  <c r="C56" i="9"/>
  <c r="C57" i="8"/>
  <c r="D20" i="8"/>
  <c r="E20" i="8" s="1"/>
  <c r="I21" i="43" s="1"/>
  <c r="D49" i="8"/>
  <c r="E19" i="7"/>
  <c r="D20" i="43" s="1"/>
  <c r="E18" i="7"/>
  <c r="D19" i="43" s="1"/>
  <c r="C59" i="7"/>
  <c r="G56" i="13" l="1"/>
  <c r="D50" i="14"/>
  <c r="D49" i="14"/>
  <c r="E64" i="32"/>
  <c r="G61" i="32" s="1"/>
  <c r="N30" i="43" s="1"/>
  <c r="D54" i="8"/>
  <c r="D57" i="8" s="1"/>
  <c r="D53" i="8"/>
  <c r="D51" i="8"/>
  <c r="D48" i="8"/>
  <c r="D52" i="8"/>
  <c r="E23" i="8"/>
  <c r="D26" i="8" s="1"/>
  <c r="D50" i="8"/>
  <c r="E62" i="27"/>
  <c r="G59" i="27" s="1"/>
  <c r="D48" i="9"/>
  <c r="D55" i="9"/>
  <c r="G62" i="27"/>
  <c r="G63" i="31"/>
  <c r="M34" i="43" s="1"/>
  <c r="G60" i="31"/>
  <c r="M30" i="43" s="1"/>
  <c r="D54" i="9"/>
  <c r="D53" i="9"/>
  <c r="D47" i="9"/>
  <c r="AF30" i="43"/>
  <c r="E60" i="35"/>
  <c r="G57" i="35" s="1"/>
  <c r="E44" i="17"/>
  <c r="E55" i="17" s="1"/>
  <c r="AD29" i="43"/>
  <c r="E21" i="16"/>
  <c r="AC22" i="43" s="1"/>
  <c r="AC21" i="43"/>
  <c r="D46" i="14"/>
  <c r="E23" i="14"/>
  <c r="D25" i="14" s="1"/>
  <c r="G59" i="34"/>
  <c r="Z30" i="43" s="1"/>
  <c r="Z29" i="43"/>
  <c r="G58" i="40"/>
  <c r="G55" i="40"/>
  <c r="X30" i="43" s="1"/>
  <c r="E49" i="33"/>
  <c r="E60" i="33" s="1"/>
  <c r="G57" i="33" s="1"/>
  <c r="W30" i="43" s="1"/>
  <c r="W29" i="43"/>
  <c r="D50" i="12"/>
  <c r="D47" i="12"/>
  <c r="D46" i="12"/>
  <c r="D48" i="12"/>
  <c r="D52" i="12"/>
  <c r="D49" i="12"/>
  <c r="E21" i="12"/>
  <c r="V22" i="43" s="1"/>
  <c r="V21" i="43"/>
  <c r="D52" i="11"/>
  <c r="D53" i="11"/>
  <c r="D46" i="11"/>
  <c r="D48" i="11"/>
  <c r="D50" i="11"/>
  <c r="E21" i="11"/>
  <c r="U22" i="43" s="1"/>
  <c r="U21" i="43"/>
  <c r="D50" i="9"/>
  <c r="D46" i="9"/>
  <c r="D52" i="9"/>
  <c r="E21" i="9"/>
  <c r="R22" i="43" s="1"/>
  <c r="R21" i="43"/>
  <c r="D51" i="9"/>
  <c r="E23" i="9"/>
  <c r="D25" i="9" s="1"/>
  <c r="G56" i="42"/>
  <c r="G53" i="42"/>
  <c r="Q30" i="43" s="1"/>
  <c r="G62" i="26"/>
  <c r="G34" i="43" s="1"/>
  <c r="G59" i="26"/>
  <c r="G30" i="43" s="1"/>
  <c r="E20" i="14"/>
  <c r="AA21" i="43" s="1"/>
  <c r="E21" i="8"/>
  <c r="I22" i="43" s="1"/>
  <c r="E29" i="8"/>
  <c r="I28" i="43" s="1"/>
  <c r="D25" i="11"/>
  <c r="D27" i="11"/>
  <c r="D49" i="13"/>
  <c r="E39" i="18"/>
  <c r="AG38" i="43" s="1"/>
  <c r="D25" i="12"/>
  <c r="E30" i="12" s="1"/>
  <c r="D27" i="12"/>
  <c r="D30" i="9"/>
  <c r="E23" i="4"/>
  <c r="D25" i="4" s="1"/>
  <c r="G25" i="4" s="1"/>
  <c r="D36" i="20"/>
  <c r="E52" i="20" s="1"/>
  <c r="D63" i="20"/>
  <c r="D55" i="17"/>
  <c r="D25" i="10"/>
  <c r="D30" i="10" s="1"/>
  <c r="D45" i="16"/>
  <c r="D47" i="16"/>
  <c r="D46" i="16"/>
  <c r="E23" i="16"/>
  <c r="D25" i="16" s="1"/>
  <c r="E55" i="16" s="1"/>
  <c r="D30" i="15"/>
  <c r="D56" i="15"/>
  <c r="G56" i="15" s="1"/>
  <c r="D48" i="14"/>
  <c r="D46" i="13"/>
  <c r="D47" i="13"/>
  <c r="D50" i="13"/>
  <c r="D53" i="13"/>
  <c r="D51" i="13"/>
  <c r="D48" i="13"/>
  <c r="E23" i="13"/>
  <c r="D48" i="10"/>
  <c r="D50" i="10"/>
  <c r="D47" i="10"/>
  <c r="D49" i="10"/>
  <c r="D46" i="10"/>
  <c r="D51" i="10"/>
  <c r="D20" i="7"/>
  <c r="E20" i="7" s="1"/>
  <c r="E22" i="7"/>
  <c r="H31" i="1"/>
  <c r="H25" i="1"/>
  <c r="E34" i="4"/>
  <c r="S33" i="43" s="1"/>
  <c r="D58" i="2"/>
  <c r="E21" i="2"/>
  <c r="C20" i="43" s="1"/>
  <c r="E43" i="2"/>
  <c r="C33" i="43" s="1"/>
  <c r="T29" i="43" l="1"/>
  <c r="D56" i="14"/>
  <c r="G56" i="14" s="1"/>
  <c r="D25" i="8"/>
  <c r="J34" i="43"/>
  <c r="E45" i="28"/>
  <c r="J38" i="43" s="1"/>
  <c r="E42" i="28"/>
  <c r="J35" i="43" s="1"/>
  <c r="E43" i="28"/>
  <c r="J36" i="43" s="1"/>
  <c r="E44" i="28"/>
  <c r="J37" i="43" s="1"/>
  <c r="D35" i="29"/>
  <c r="K29" i="43" s="1"/>
  <c r="Q34" i="43"/>
  <c r="E40" i="36"/>
  <c r="E42" i="36" s="1"/>
  <c r="AF36" i="43" s="1"/>
  <c r="D30" i="8"/>
  <c r="AH34" i="43"/>
  <c r="D56" i="11"/>
  <c r="G56" i="11" s="1"/>
  <c r="E39" i="11" s="1"/>
  <c r="U38" i="43" s="1"/>
  <c r="L34" i="43"/>
  <c r="X34" i="43"/>
  <c r="E38" i="18"/>
  <c r="AG37" i="43" s="1"/>
  <c r="G55" i="17"/>
  <c r="G52" i="17"/>
  <c r="AD30" i="43" s="1"/>
  <c r="E56" i="15"/>
  <c r="G53" i="15" s="1"/>
  <c r="AB30" i="43" s="1"/>
  <c r="D30" i="14"/>
  <c r="E56" i="14" s="1"/>
  <c r="G53" i="14" s="1"/>
  <c r="E21" i="14"/>
  <c r="AA22" i="43" s="1"/>
  <c r="E40" i="40"/>
  <c r="X37" i="43" s="1"/>
  <c r="E39" i="40"/>
  <c r="X36" i="43" s="1"/>
  <c r="E41" i="40"/>
  <c r="X38" i="43" s="1"/>
  <c r="E38" i="40"/>
  <c r="X35" i="43" s="1"/>
  <c r="D56" i="12"/>
  <c r="G56" i="12" s="1"/>
  <c r="V34" i="43" s="1"/>
  <c r="E45" i="12"/>
  <c r="E56" i="12" s="1"/>
  <c r="V29" i="43"/>
  <c r="E30" i="11"/>
  <c r="U29" i="43" s="1"/>
  <c r="U28" i="43"/>
  <c r="D56" i="9"/>
  <c r="G56" i="9" s="1"/>
  <c r="R34" i="43" s="1"/>
  <c r="E56" i="9"/>
  <c r="R29" i="43"/>
  <c r="E37" i="42"/>
  <c r="Q36" i="43" s="1"/>
  <c r="E36" i="42"/>
  <c r="E38" i="42"/>
  <c r="Q37" i="43" s="1"/>
  <c r="E39" i="42"/>
  <c r="Q38" i="43" s="1"/>
  <c r="G57" i="8"/>
  <c r="I34" i="43" s="1"/>
  <c r="E43" i="26"/>
  <c r="G36" i="43" s="1"/>
  <c r="E45" i="26"/>
  <c r="G38" i="43" s="1"/>
  <c r="E42" i="26"/>
  <c r="G35" i="43" s="1"/>
  <c r="E44" i="26"/>
  <c r="G37" i="43" s="1"/>
  <c r="E29" i="43"/>
  <c r="E63" i="20"/>
  <c r="G60" i="20" s="1"/>
  <c r="E30" i="43" s="1"/>
  <c r="E21" i="7"/>
  <c r="D22" i="43" s="1"/>
  <c r="D21" i="43"/>
  <c r="D57" i="7"/>
  <c r="D58" i="7"/>
  <c r="E23" i="7"/>
  <c r="D25" i="7" s="1"/>
  <c r="AD34" i="43"/>
  <c r="D27" i="13"/>
  <c r="D25" i="13"/>
  <c r="E37" i="19"/>
  <c r="AH35" i="43" s="1"/>
  <c r="E40" i="19"/>
  <c r="AH38" i="43" s="1"/>
  <c r="E39" i="19"/>
  <c r="AH37" i="43" s="1"/>
  <c r="E38" i="19"/>
  <c r="AH36" i="43" s="1"/>
  <c r="E37" i="18"/>
  <c r="AG36" i="43" s="1"/>
  <c r="G63" i="20"/>
  <c r="E34" i="43" s="1"/>
  <c r="E36" i="18"/>
  <c r="AG35" i="43" s="1"/>
  <c r="D55" i="16"/>
  <c r="D56" i="13"/>
  <c r="D48" i="7"/>
  <c r="D53" i="7"/>
  <c r="D50" i="7"/>
  <c r="D47" i="7"/>
  <c r="D52" i="7"/>
  <c r="D55" i="7"/>
  <c r="D49" i="7"/>
  <c r="D54" i="7"/>
  <c r="D51" i="7"/>
  <c r="D56" i="7"/>
  <c r="D29" i="43"/>
  <c r="D49" i="4"/>
  <c r="D47" i="4"/>
  <c r="D20" i="4"/>
  <c r="E20" i="4" s="1"/>
  <c r="E21" i="4" s="1"/>
  <c r="D56" i="2"/>
  <c r="D57" i="2"/>
  <c r="D55" i="2"/>
  <c r="AF34" i="43" l="1"/>
  <c r="E36" i="14"/>
  <c r="AA35" i="43" s="1"/>
  <c r="AA34" i="43"/>
  <c r="E43" i="36"/>
  <c r="AF37" i="43" s="1"/>
  <c r="E44" i="36"/>
  <c r="AF38" i="43" s="1"/>
  <c r="E41" i="36"/>
  <c r="AF35" i="43" s="1"/>
  <c r="E40" i="8"/>
  <c r="I38" i="43" s="1"/>
  <c r="E37" i="8"/>
  <c r="I35" i="43" s="1"/>
  <c r="E39" i="8"/>
  <c r="I37" i="43" s="1"/>
  <c r="Z34" i="43"/>
  <c r="E42" i="34"/>
  <c r="Z35" i="43" s="1"/>
  <c r="E44" i="34"/>
  <c r="Z37" i="43" s="1"/>
  <c r="E43" i="34"/>
  <c r="Z36" i="43" s="1"/>
  <c r="E45" i="34"/>
  <c r="Z38" i="43" s="1"/>
  <c r="E41" i="18"/>
  <c r="E46" i="31"/>
  <c r="M38" i="43" s="1"/>
  <c r="E45" i="31"/>
  <c r="M37" i="43" s="1"/>
  <c r="E43" i="31"/>
  <c r="M35" i="43" s="1"/>
  <c r="E44" i="31"/>
  <c r="M36" i="43" s="1"/>
  <c r="E62" i="29"/>
  <c r="G59" i="29" s="1"/>
  <c r="K30" i="43" s="1"/>
  <c r="K34" i="43"/>
  <c r="E44" i="29"/>
  <c r="K37" i="43" s="1"/>
  <c r="E42" i="29"/>
  <c r="K35" i="43" s="1"/>
  <c r="E45" i="29"/>
  <c r="K38" i="43" s="1"/>
  <c r="E43" i="29"/>
  <c r="K36" i="43" s="1"/>
  <c r="E47" i="28"/>
  <c r="AE34" i="43"/>
  <c r="E41" i="35"/>
  <c r="E43" i="35"/>
  <c r="AE37" i="43" s="1"/>
  <c r="E42" i="35"/>
  <c r="AE36" i="43" s="1"/>
  <c r="E44" i="35"/>
  <c r="AE38" i="43" s="1"/>
  <c r="E38" i="8"/>
  <c r="I36" i="43" s="1"/>
  <c r="E47" i="32"/>
  <c r="N38" i="43" s="1"/>
  <c r="E44" i="32"/>
  <c r="N34" i="43"/>
  <c r="E45" i="32"/>
  <c r="N36" i="43" s="1"/>
  <c r="E46" i="32"/>
  <c r="N37" i="43" s="1"/>
  <c r="E39" i="39"/>
  <c r="O37" i="43" s="1"/>
  <c r="E40" i="39"/>
  <c r="O38" i="43" s="1"/>
  <c r="E38" i="39"/>
  <c r="O36" i="43" s="1"/>
  <c r="O34" i="43"/>
  <c r="E37" i="39"/>
  <c r="O35" i="43" s="1"/>
  <c r="E43" i="27"/>
  <c r="H36" i="43" s="1"/>
  <c r="E45" i="27"/>
  <c r="H38" i="43" s="1"/>
  <c r="E44" i="27"/>
  <c r="H37" i="43" s="1"/>
  <c r="E42" i="27"/>
  <c r="H35" i="43" s="1"/>
  <c r="E57" i="8"/>
  <c r="G54" i="8" s="1"/>
  <c r="I30" i="43" s="1"/>
  <c r="I29" i="43"/>
  <c r="W34" i="43"/>
  <c r="E41" i="33"/>
  <c r="W36" i="43" s="1"/>
  <c r="E40" i="33"/>
  <c r="W35" i="43" s="1"/>
  <c r="E43" i="33"/>
  <c r="W38" i="43" s="1"/>
  <c r="E42" i="33"/>
  <c r="W37" i="43" s="1"/>
  <c r="E44" i="30"/>
  <c r="L37" i="43" s="1"/>
  <c r="E45" i="30"/>
  <c r="L38" i="43" s="1"/>
  <c r="E42" i="30"/>
  <c r="L35" i="43" s="1"/>
  <c r="E43" i="30"/>
  <c r="L36" i="43" s="1"/>
  <c r="E40" i="41"/>
  <c r="P38" i="43" s="1"/>
  <c r="P34" i="43"/>
  <c r="E38" i="41"/>
  <c r="P36" i="43" s="1"/>
  <c r="E37" i="41"/>
  <c r="P35" i="43" s="1"/>
  <c r="E39" i="41"/>
  <c r="P37" i="43" s="1"/>
  <c r="E30" i="13"/>
  <c r="F34" i="43"/>
  <c r="E44" i="25"/>
  <c r="F37" i="43" s="1"/>
  <c r="E45" i="25"/>
  <c r="F38" i="43" s="1"/>
  <c r="E43" i="25"/>
  <c r="F36" i="43" s="1"/>
  <c r="E42" i="25"/>
  <c r="F35" i="43" s="1"/>
  <c r="E43" i="19"/>
  <c r="E36" i="17"/>
  <c r="AD35" i="43" s="1"/>
  <c r="E38" i="17"/>
  <c r="AD37" i="43" s="1"/>
  <c r="E37" i="17"/>
  <c r="AD36" i="43" s="1"/>
  <c r="E39" i="17"/>
  <c r="AD38" i="43" s="1"/>
  <c r="G55" i="16"/>
  <c r="AC34" i="43" s="1"/>
  <c r="G52" i="16"/>
  <c r="AC30" i="43" s="1"/>
  <c r="E40" i="15"/>
  <c r="AB38" i="43" s="1"/>
  <c r="AB34" i="43"/>
  <c r="E37" i="14"/>
  <c r="AA36" i="43" s="1"/>
  <c r="E39" i="14"/>
  <c r="AA38" i="43" s="1"/>
  <c r="E38" i="14"/>
  <c r="AA37" i="43" s="1"/>
  <c r="E43" i="40"/>
  <c r="E62" i="40" s="1"/>
  <c r="E64" i="40" s="1"/>
  <c r="X44" i="43" s="1"/>
  <c r="G53" i="12"/>
  <c r="V30" i="43" s="1"/>
  <c r="E38" i="12"/>
  <c r="V37" i="43" s="1"/>
  <c r="E37" i="12"/>
  <c r="V36" i="43" s="1"/>
  <c r="E39" i="12"/>
  <c r="V38" i="43" s="1"/>
  <c r="E36" i="12"/>
  <c r="V35" i="43" s="1"/>
  <c r="E36" i="11"/>
  <c r="U35" i="43" s="1"/>
  <c r="U34" i="43"/>
  <c r="E45" i="11"/>
  <c r="E56" i="11" s="1"/>
  <c r="G53" i="11" s="1"/>
  <c r="U30" i="43" s="1"/>
  <c r="G53" i="9"/>
  <c r="R30" i="43" s="1"/>
  <c r="E38" i="9"/>
  <c r="R37" i="43" s="1"/>
  <c r="E39" i="9"/>
  <c r="R38" i="43" s="1"/>
  <c r="E36" i="9"/>
  <c r="R35" i="43" s="1"/>
  <c r="E37" i="9"/>
  <c r="R36" i="43" s="1"/>
  <c r="E41" i="42"/>
  <c r="Q35" i="43"/>
  <c r="E47" i="26"/>
  <c r="G40" i="43" s="1"/>
  <c r="E38" i="15"/>
  <c r="AB36" i="43" s="1"/>
  <c r="E39" i="15"/>
  <c r="AB37" i="43" s="1"/>
  <c r="E37" i="15"/>
  <c r="AB35" i="43" s="1"/>
  <c r="E45" i="20"/>
  <c r="E37" i="43" s="1"/>
  <c r="E44" i="20"/>
  <c r="E36" i="43" s="1"/>
  <c r="E46" i="20"/>
  <c r="E38" i="43" s="1"/>
  <c r="E43" i="20"/>
  <c r="E35" i="43" s="1"/>
  <c r="E38" i="11"/>
  <c r="U37" i="43" s="1"/>
  <c r="E37" i="11"/>
  <c r="D59" i="7"/>
  <c r="G59" i="7" s="1"/>
  <c r="D48" i="4"/>
  <c r="D50" i="4"/>
  <c r="D51" i="4"/>
  <c r="D53" i="4"/>
  <c r="D54" i="4"/>
  <c r="D52" i="4"/>
  <c r="D55" i="4"/>
  <c r="D30" i="4"/>
  <c r="D65" i="2"/>
  <c r="C65" i="2"/>
  <c r="D22" i="2"/>
  <c r="E62" i="19" l="1"/>
  <c r="AH40" i="43"/>
  <c r="E59" i="18"/>
  <c r="AG40" i="43"/>
  <c r="E46" i="36"/>
  <c r="AF40" i="43" s="1"/>
  <c r="E45" i="13"/>
  <c r="E56" i="13" s="1"/>
  <c r="G53" i="13" s="1"/>
  <c r="E35" i="13" s="1"/>
  <c r="Y29" i="43"/>
  <c r="X40" i="43"/>
  <c r="E61" i="18"/>
  <c r="AG44" i="43" s="1"/>
  <c r="E60" i="18"/>
  <c r="AG43" i="43" s="1"/>
  <c r="E48" i="31"/>
  <c r="E47" i="25"/>
  <c r="E66" i="25" s="1"/>
  <c r="E42" i="8"/>
  <c r="E61" i="8" s="1"/>
  <c r="I42" i="43" s="1"/>
  <c r="E47" i="30"/>
  <c r="N35" i="43"/>
  <c r="E49" i="32"/>
  <c r="J40" i="43"/>
  <c r="E66" i="28"/>
  <c r="E47" i="29"/>
  <c r="E47" i="34"/>
  <c r="E45" i="33"/>
  <c r="E47" i="27"/>
  <c r="H40" i="43" s="1"/>
  <c r="AE35" i="43"/>
  <c r="E46" i="35"/>
  <c r="E42" i="41"/>
  <c r="E42" i="39"/>
  <c r="E65" i="19"/>
  <c r="AH45" i="43" s="1"/>
  <c r="E64" i="19"/>
  <c r="AH44" i="43" s="1"/>
  <c r="E41" i="17"/>
  <c r="AD40" i="43" s="1"/>
  <c r="E39" i="16"/>
  <c r="AC38" i="43" s="1"/>
  <c r="E36" i="16"/>
  <c r="AC35" i="43" s="1"/>
  <c r="E37" i="16"/>
  <c r="AC36" i="43" s="1"/>
  <c r="E38" i="16"/>
  <c r="AC37" i="43" s="1"/>
  <c r="E41" i="14"/>
  <c r="E63" i="40"/>
  <c r="X43" i="43" s="1"/>
  <c r="E65" i="40"/>
  <c r="X45" i="43" s="1"/>
  <c r="X42" i="43"/>
  <c r="E41" i="12"/>
  <c r="E41" i="11"/>
  <c r="U36" i="43"/>
  <c r="E41" i="9"/>
  <c r="E60" i="9" s="1"/>
  <c r="E60" i="42"/>
  <c r="Q40" i="43"/>
  <c r="E66" i="26"/>
  <c r="E69" i="26" s="1"/>
  <c r="G45" i="43" s="1"/>
  <c r="G65" i="2"/>
  <c r="G62" i="2"/>
  <c r="C30" i="43" s="1"/>
  <c r="G56" i="7"/>
  <c r="D30" i="43" s="1"/>
  <c r="E42" i="15"/>
  <c r="E48" i="20"/>
  <c r="E22" i="2"/>
  <c r="D34" i="43"/>
  <c r="E56" i="4"/>
  <c r="D56" i="4"/>
  <c r="G56" i="4" s="1"/>
  <c r="E36" i="4" s="1"/>
  <c r="S35" i="43" s="1"/>
  <c r="E63" i="19" l="1"/>
  <c r="AH43" i="43" s="1"/>
  <c r="AH42" i="43"/>
  <c r="E62" i="18"/>
  <c r="AG45" i="43" s="1"/>
  <c r="AG42" i="43"/>
  <c r="E64" i="36"/>
  <c r="E66" i="36" s="1"/>
  <c r="AF44" i="43" s="1"/>
  <c r="E60" i="14"/>
  <c r="AA40" i="43"/>
  <c r="Y34" i="43"/>
  <c r="E39" i="13"/>
  <c r="Y38" i="43" s="1"/>
  <c r="E36" i="13"/>
  <c r="E38" i="13"/>
  <c r="Y37" i="43" s="1"/>
  <c r="E37" i="13"/>
  <c r="Y36" i="43" s="1"/>
  <c r="E66" i="30"/>
  <c r="E69" i="30" s="1"/>
  <c r="L45" i="43" s="1"/>
  <c r="L40" i="43"/>
  <c r="F40" i="43"/>
  <c r="E67" i="31"/>
  <c r="E69" i="31" s="1"/>
  <c r="M44" i="43" s="1"/>
  <c r="M40" i="43"/>
  <c r="I40" i="43"/>
  <c r="E63" i="8"/>
  <c r="I44" i="43" s="1"/>
  <c r="E62" i="8"/>
  <c r="I43" i="43" s="1"/>
  <c r="R42" i="43"/>
  <c r="E63" i="9"/>
  <c r="R45" i="43" s="1"/>
  <c r="E62" i="9"/>
  <c r="R44" i="43" s="1"/>
  <c r="E61" i="9"/>
  <c r="R43" i="43" s="1"/>
  <c r="AE40" i="43"/>
  <c r="E64" i="35"/>
  <c r="J42" i="43"/>
  <c r="E69" i="28"/>
  <c r="E68" i="28"/>
  <c r="J44" i="43" s="1"/>
  <c r="E67" i="28"/>
  <c r="K40" i="43"/>
  <c r="E66" i="29"/>
  <c r="E68" i="25"/>
  <c r="F44" i="43" s="1"/>
  <c r="E67" i="25"/>
  <c r="F43" i="43" s="1"/>
  <c r="F42" i="43"/>
  <c r="E69" i="25"/>
  <c r="F45" i="43" s="1"/>
  <c r="E23" i="2"/>
  <c r="C21" i="43"/>
  <c r="O40" i="43"/>
  <c r="E61" i="39"/>
  <c r="E66" i="27"/>
  <c r="H42" i="43" s="1"/>
  <c r="E68" i="32"/>
  <c r="N40" i="43"/>
  <c r="R40" i="43"/>
  <c r="P40" i="43"/>
  <c r="E61" i="41"/>
  <c r="E64" i="33"/>
  <c r="W40" i="43"/>
  <c r="E66" i="34"/>
  <c r="Z40" i="43"/>
  <c r="E59" i="17"/>
  <c r="AD42" i="43" s="1"/>
  <c r="E41" i="16"/>
  <c r="E59" i="16" s="1"/>
  <c r="E62" i="16" s="1"/>
  <c r="AC45" i="43" s="1"/>
  <c r="E60" i="15"/>
  <c r="AB40" i="43"/>
  <c r="E61" i="14"/>
  <c r="AA43" i="43" s="1"/>
  <c r="E60" i="12"/>
  <c r="V40" i="43"/>
  <c r="E60" i="11"/>
  <c r="U40" i="43"/>
  <c r="Q42" i="43"/>
  <c r="E63" i="42"/>
  <c r="Q45" i="43" s="1"/>
  <c r="E62" i="42"/>
  <c r="Q44" i="43" s="1"/>
  <c r="E61" i="42"/>
  <c r="Q43" i="43" s="1"/>
  <c r="E68" i="26"/>
  <c r="G44" i="43" s="1"/>
  <c r="E67" i="26"/>
  <c r="G43" i="43" s="1"/>
  <c r="G42" i="43"/>
  <c r="E67" i="20"/>
  <c r="E42" i="43" s="1"/>
  <c r="E40" i="43"/>
  <c r="E39" i="7"/>
  <c r="D37" i="43" s="1"/>
  <c r="E37" i="7"/>
  <c r="D35" i="43" s="1"/>
  <c r="E38" i="7"/>
  <c r="D36" i="43" s="1"/>
  <c r="E40" i="7"/>
  <c r="E64" i="8"/>
  <c r="I45" i="43" s="1"/>
  <c r="E37" i="4"/>
  <c r="S36" i="43" s="1"/>
  <c r="E39" i="4"/>
  <c r="S38" i="43" s="1"/>
  <c r="E38" i="4"/>
  <c r="S37" i="43" s="1"/>
  <c r="E46" i="2"/>
  <c r="C36" i="43" s="1"/>
  <c r="E48" i="2"/>
  <c r="C38" i="43" s="1"/>
  <c r="E45" i="2"/>
  <c r="C35" i="43" s="1"/>
  <c r="E47" i="2"/>
  <c r="C37" i="43" s="1"/>
  <c r="E62" i="14" l="1"/>
  <c r="AA44" i="43" s="1"/>
  <c r="E63" i="14"/>
  <c r="E67" i="30"/>
  <c r="L43" i="43" s="1"/>
  <c r="AF42" i="43"/>
  <c r="E65" i="36"/>
  <c r="AF43" i="43" s="1"/>
  <c r="E67" i="36"/>
  <c r="AF45" i="43" s="1"/>
  <c r="E61" i="17"/>
  <c r="AD44" i="43" s="1"/>
  <c r="AA45" i="43"/>
  <c r="AA42" i="43"/>
  <c r="Y35" i="43"/>
  <c r="E41" i="13"/>
  <c r="E68" i="31"/>
  <c r="M43" i="43" s="1"/>
  <c r="E70" i="31"/>
  <c r="M45" i="43" s="1"/>
  <c r="M42" i="43"/>
  <c r="E68" i="30"/>
  <c r="L44" i="43" s="1"/>
  <c r="L42" i="43"/>
  <c r="C22" i="43"/>
  <c r="E69" i="32"/>
  <c r="N43" i="43" s="1"/>
  <c r="N42" i="43"/>
  <c r="E71" i="32"/>
  <c r="N45" i="43" s="1"/>
  <c r="E70" i="32"/>
  <c r="N44" i="43" s="1"/>
  <c r="E67" i="34"/>
  <c r="Z43" i="43" s="1"/>
  <c r="E68" i="34"/>
  <c r="Z44" i="43" s="1"/>
  <c r="E69" i="34"/>
  <c r="Z45" i="43" s="1"/>
  <c r="Z42" i="43"/>
  <c r="E67" i="35"/>
  <c r="AE45" i="43" s="1"/>
  <c r="AE42" i="43"/>
  <c r="E66" i="35"/>
  <c r="AE44" i="43" s="1"/>
  <c r="E65" i="35"/>
  <c r="AE43" i="43" s="1"/>
  <c r="E69" i="27"/>
  <c r="H45" i="43" s="1"/>
  <c r="E67" i="27"/>
  <c r="H43" i="43" s="1"/>
  <c r="E68" i="27"/>
  <c r="H44" i="43" s="1"/>
  <c r="E66" i="33"/>
  <c r="W44" i="43" s="1"/>
  <c r="E67" i="33"/>
  <c r="W45" i="43" s="1"/>
  <c r="E65" i="33"/>
  <c r="W43" i="43" s="1"/>
  <c r="W42" i="43"/>
  <c r="E63" i="39"/>
  <c r="O44" i="43" s="1"/>
  <c r="O42" i="43"/>
  <c r="E64" i="39"/>
  <c r="O45" i="43" s="1"/>
  <c r="E62" i="39"/>
  <c r="O43" i="43" s="1"/>
  <c r="E69" i="29"/>
  <c r="K45" i="43" s="1"/>
  <c r="K42" i="43"/>
  <c r="E67" i="29"/>
  <c r="K43" i="43" s="1"/>
  <c r="E68" i="29"/>
  <c r="K44" i="43" s="1"/>
  <c r="E63" i="41"/>
  <c r="P44" i="43" s="1"/>
  <c r="E64" i="41"/>
  <c r="P45" i="43" s="1"/>
  <c r="P42" i="43"/>
  <c r="E62" i="41"/>
  <c r="P43" i="43" s="1"/>
  <c r="E62" i="17"/>
  <c r="AD45" i="43" s="1"/>
  <c r="E60" i="17"/>
  <c r="AD43" i="43" s="1"/>
  <c r="AC40" i="43"/>
  <c r="E60" i="16"/>
  <c r="AC43" i="43" s="1"/>
  <c r="E61" i="16"/>
  <c r="AC44" i="43" s="1"/>
  <c r="AC42" i="43"/>
  <c r="E63" i="15"/>
  <c r="AB45" i="43" s="1"/>
  <c r="AB42" i="43"/>
  <c r="E61" i="15"/>
  <c r="AB43" i="43" s="1"/>
  <c r="E62" i="15"/>
  <c r="AB44" i="43" s="1"/>
  <c r="E62" i="12"/>
  <c r="V44" i="43" s="1"/>
  <c r="V42" i="43"/>
  <c r="E63" i="12"/>
  <c r="V45" i="43" s="1"/>
  <c r="E61" i="12"/>
  <c r="V43" i="43" s="1"/>
  <c r="E61" i="11"/>
  <c r="U43" i="43" s="1"/>
  <c r="U42" i="43"/>
  <c r="E63" i="11"/>
  <c r="U45" i="43" s="1"/>
  <c r="E62" i="11"/>
  <c r="U44" i="43" s="1"/>
  <c r="E68" i="20"/>
  <c r="E43" i="43" s="1"/>
  <c r="E44" i="43"/>
  <c r="E70" i="20"/>
  <c r="E45" i="43" s="1"/>
  <c r="E50" i="2"/>
  <c r="E42" i="7"/>
  <c r="D38" i="43"/>
  <c r="E41" i="4"/>
  <c r="E69" i="2" l="1"/>
  <c r="C42" i="43" s="1"/>
  <c r="C40" i="43"/>
  <c r="E60" i="13"/>
  <c r="Y40" i="43"/>
  <c r="E60" i="4"/>
  <c r="S40" i="43"/>
  <c r="D35" i="2"/>
  <c r="D33" i="2"/>
  <c r="D34" i="2"/>
  <c r="D40" i="43"/>
  <c r="E63" i="7"/>
  <c r="D42" i="43" s="1"/>
  <c r="E71" i="2"/>
  <c r="C44" i="43" s="1"/>
  <c r="C43" i="43"/>
  <c r="E56" i="10"/>
  <c r="D56" i="10"/>
  <c r="C56" i="10"/>
  <c r="Y42" i="43" l="1"/>
  <c r="E62" i="13"/>
  <c r="Y44" i="43" s="1"/>
  <c r="E63" i="13"/>
  <c r="Y45" i="43" s="1"/>
  <c r="E61" i="13"/>
  <c r="Y43" i="43" s="1"/>
  <c r="G53" i="10"/>
  <c r="E62" i="4"/>
  <c r="S44" i="43" s="1"/>
  <c r="S42" i="43"/>
  <c r="G56" i="10"/>
  <c r="E65" i="7"/>
  <c r="D44" i="43" s="1"/>
  <c r="E37" i="10" l="1"/>
  <c r="T36" i="43" s="1"/>
  <c r="T34" i="43"/>
  <c r="E36" i="10"/>
  <c r="T35" i="43" s="1"/>
  <c r="E38" i="10"/>
  <c r="T37" i="43" s="1"/>
  <c r="E39" i="10"/>
  <c r="T38" i="43" s="1"/>
  <c r="E41" i="10" l="1"/>
  <c r="E60" i="10" l="1"/>
  <c r="E61" i="10" s="1"/>
  <c r="T43" i="43" s="1"/>
  <c r="T40" i="43"/>
  <c r="E63" i="10" l="1"/>
  <c r="T45" i="43" s="1"/>
  <c r="E62" i="10"/>
  <c r="T44" i="43" s="1"/>
  <c r="T42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O18" authorId="0" shapeId="0" xr:uid="{00000000-0006-0000-01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E22" authorId="0" shapeId="0" xr:uid="{00000000-0006-0000-01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5" authorId="0" shapeId="0" xr:uid="{20D0D0C4-D903-422C-8E85-8C907B8DB38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B894440-9F28-47DD-A614-1FA394D8A7C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M52" authorId="0" shapeId="0" xr:uid="{CC872028-7C7D-485F-A5D7-2E7BD8574DA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G62" authorId="0" shapeId="0" xr:uid="{3B393F8D-E464-46BF-876A-0F5F582281A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1435B026-B816-47B4-9EB7-6BF3EA69DA9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M51" authorId="0" shapeId="0" xr:uid="{4FA5325E-0DCA-4CE8-B33A-6F32A697A75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G63" authorId="0" shapeId="0" xr:uid="{37B71A5B-ECBF-44C5-A7BF-0E0B343DE22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137318A8-A52D-4BED-A3CD-C207651F2F0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4" authorId="0" shapeId="0" xr:uid="{CF88856F-76B7-4B24-8323-DB603E1C539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DE4279DE-7187-46DA-A116-C27B2D45FE4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7" authorId="0" shapeId="0" xr:uid="{0C8C671A-18ED-47D3-AFC1-A1E13C51C3C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76A8F0F5-2B8D-4C96-81DC-5ACDDEB90C5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7" authorId="0" shapeId="0" xr:uid="{0FED7883-3A4F-492D-A7F8-C7E6662779F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3DE37E11-75CF-4D51-85BB-6D225C55C7C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C4D2EBDC-67F0-477E-8201-E3E5EC40259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4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4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G56" authorId="0" shapeId="0" xr:uid="{00000000-0006-0000-05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6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6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7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7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2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9" authorId="0" shapeId="0" xr:uid="{00000000-0006-0000-02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8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8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5F37C34F-01A2-4261-B81C-E8F3A341031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0" authorId="0" shapeId="0" xr:uid="{8F70194E-7D7E-422D-A343-F4620912F4C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2" authorId="0" shapeId="0" xr:uid="{4EF2E444-BFA8-47D0-9FBD-3D95BAE2A50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8" authorId="0" shapeId="0" xr:uid="{E5C30503-D996-4B85-A171-82BC6D27CEB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9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9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38189D3A-5FD6-4BAC-A1A3-9527A48101D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2" authorId="0" shapeId="0" xr:uid="{D80ACF14-2A6C-45EC-BB6B-01108E92CEC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A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A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B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6" authorId="0" shapeId="0" xr:uid="{00000000-0006-0000-0B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C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5" authorId="0" shapeId="0" xr:uid="{00000000-0006-0000-0C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D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55" authorId="0" shapeId="0" xr:uid="{00000000-0006-0000-0D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6F2935AD-39CC-4AF4-85A7-582CD8C6CB6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0" authorId="0" shapeId="0" xr:uid="{B8723FF5-65E5-4A80-B71A-F4A852C3EF2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11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3" authorId="0" shapeId="0" xr:uid="{00000000-0006-0000-11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4F765DDA-0749-41EF-ADEB-A9D207C49FE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0" authorId="0" shapeId="0" xr:uid="{757DBC7F-7E7B-40D7-BC83-2829B68C59E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G55" authorId="0" shapeId="0" xr:uid="{00000000-0006-0000-0E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G58" authorId="0" shapeId="0" xr:uid="{00000000-0006-0000-0F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1EFF75C5-CBE5-4450-8A42-EE9F7242A3D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2" authorId="0" shapeId="0" xr:uid="{3D00CD52-45C5-4149-AC31-15B7F69A2F1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8EF7708A-4EF9-40CE-ADE2-0E05D97C15E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2" authorId="0" shapeId="0" xr:uid="{DB46DBEC-2834-43DE-9F30-41CB27EEFA1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DD3916D-917F-4FA8-B22D-48FA7B6230B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G62" authorId="0" shapeId="0" xr:uid="{7108AF2C-BB2B-48E0-BD82-2AED26BF0EE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00000000-0006-0000-03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M45" authorId="0" shapeId="0" xr:uid="{00000000-0006-0000-03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G57" authorId="0" shapeId="0" xr:uid="{5A18A60D-5968-48C3-9291-F24CEFD5988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2EE2B5CB-FFEF-4D7C-BBE0-30D78B1899D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M50" authorId="0" shapeId="0" xr:uid="{DE5EB592-4BC9-4CA2-8677-EAF8261E335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G62" authorId="0" shapeId="0" xr:uid="{648C7965-F055-422C-9AC7-BC82C3339E3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E20" authorId="0" shapeId="0" xr:uid="{C535BF06-CBD0-4062-AD33-DA37B5AD973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AGREGAR FÓRMULA REDONDEAR</t>
        </r>
      </text>
    </comment>
    <comment ref="M52" authorId="0" shapeId="0" xr:uid="{30AFC2AB-9302-4D59-8DDF-7EACBA5B3D7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  <comment ref="G62" authorId="0" shapeId="0" xr:uid="{AC83A882-E2E4-4594-919F-96B107AFAD0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PONER FORMATO CONDICIONAL QUE SE TIÑA DE VERDE SI ES MENOR QUE EL CUS </t>
        </r>
      </text>
    </comment>
  </commentList>
</comments>
</file>

<file path=xl/sharedStrings.xml><?xml version="1.0" encoding="utf-8"?>
<sst xmlns="http://schemas.openxmlformats.org/spreadsheetml/2006/main" count="2869" uniqueCount="312">
  <si>
    <t>m2</t>
  </si>
  <si>
    <t>Costo de construcción por m2 áreas techadas</t>
  </si>
  <si>
    <t xml:space="preserve">Costo de construcción por m2 estacionamiento </t>
  </si>
  <si>
    <t>Costo de construcción por m2 áreas abiertas</t>
  </si>
  <si>
    <t>CERTIFICADO DE ALINEAMIENTO</t>
  </si>
  <si>
    <t>METROS LINEALES SOBRE VIA PUBLICA</t>
  </si>
  <si>
    <t>COSTO CERTIFICADO</t>
  </si>
  <si>
    <t>CERTIFICADO DE USOS, TRAZOS Y DESTINOS</t>
  </si>
  <si>
    <t>CERTIFICADO DRO Y BITACORA</t>
  </si>
  <si>
    <t>DICTAMEN DE PROTECCION CIVIL</t>
  </si>
  <si>
    <t>DICTAMEN DE MEDIO AMBIENTE</t>
  </si>
  <si>
    <t>DICTAMEN DE MOVILIDAD</t>
  </si>
  <si>
    <t>FACTIBILIDAD DEL SIAPA</t>
  </si>
  <si>
    <t>COSTO SERVICIO</t>
  </si>
  <si>
    <t>CUOTA</t>
  </si>
  <si>
    <t>FACTIBILIDAD DE CFE</t>
  </si>
  <si>
    <t>LICENCIA DE CONSTRUCCIÓN</t>
  </si>
  <si>
    <t>COSTO LICENCIA</t>
  </si>
  <si>
    <t>COSTO DE CONSTRUCCIÓN</t>
  </si>
  <si>
    <t>CON ELEVADOR (5 Ó MAS NIVELES)</t>
  </si>
  <si>
    <t>COSTO DE ASESORÍA DE ESPECIALIESTAS</t>
  </si>
  <si>
    <t>PROYECTO ARQUITECTÓNICO EJECUTIVO</t>
  </si>
  <si>
    <t>PROYECTO Y CÁLCULO ESTRUCTURAL</t>
  </si>
  <si>
    <t>MECÁNICA DE SUELOS</t>
  </si>
  <si>
    <t>INDIRECTOS Y COORDINACIÓN DE OBRA</t>
  </si>
  <si>
    <t>TOTAL</t>
  </si>
  <si>
    <t>COSTO DE VENTAS Y MERCADOTECNIA</t>
  </si>
  <si>
    <t>UTILIDAD</t>
  </si>
  <si>
    <t>TERRENO</t>
  </si>
  <si>
    <t>CALLE ARISTA 1063</t>
  </si>
  <si>
    <t>COS</t>
  </si>
  <si>
    <t>CUS</t>
  </si>
  <si>
    <t>RECTANGULAR</t>
  </si>
  <si>
    <t>ALTURA MÁXIMA</t>
  </si>
  <si>
    <t>m</t>
  </si>
  <si>
    <t>CAJONES DE ESTACIONAMIENTO</t>
  </si>
  <si>
    <t>REST. FRONTAL</t>
  </si>
  <si>
    <t>REST. LATERAL</t>
  </si>
  <si>
    <t>REST. POSTERIOR</t>
  </si>
  <si>
    <t>NÚMERO DE NIVELES RESULTANTES</t>
  </si>
  <si>
    <t>niveles</t>
  </si>
  <si>
    <t>TIPOLOGÍA DE DEPARTAMENTOS</t>
  </si>
  <si>
    <t xml:space="preserve">2 RECÁMARAS CON BALCON O PATIO </t>
  </si>
  <si>
    <t xml:space="preserve">3 RECÁMARAS CON BALCON O PATIO </t>
  </si>
  <si>
    <t xml:space="preserve">1 RECÁMARA </t>
  </si>
  <si>
    <t>DIMENSIÓN</t>
  </si>
  <si>
    <t>M CONSTRUIDOS DEPARTAMENTOS</t>
  </si>
  <si>
    <t>M2 CONSTRUIDOS CIRCULACIONES</t>
  </si>
  <si>
    <t>M2 CONSTRUIDOS ESTACIONAMIENTOS</t>
  </si>
  <si>
    <t>N-1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</si>
  <si>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</si>
  <si>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</si>
  <si>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</si>
  <si>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</si>
  <si>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</si>
  <si>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</si>
  <si>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</si>
  <si>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</si>
  <si>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</si>
  <si>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</si>
  <si>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PLANO ESQUEMÁTICO DE PREDIO Y SUPERFICIE CONSTRUIBLE</t>
  </si>
  <si>
    <t>ÁREA DE CIRCULACIÓN POR NIVEL*</t>
  </si>
  <si>
    <t>TOTAL CUS</t>
  </si>
  <si>
    <t>CARACTERÍSTICAS ARQUITECTÓNICAS Y NORMATIVAS DEL PROYECTO</t>
  </si>
  <si>
    <t>COSTOS DEL PROYECTO</t>
  </si>
  <si>
    <t xml:space="preserve">COSTO DE CONSTRUCCIÓN </t>
  </si>
  <si>
    <t>del costo de construcción considerando indirectos y gastos administrativos del constructor</t>
  </si>
  <si>
    <t>COSTO DE ASESORÍAS DE ESPECIALISTAS</t>
  </si>
  <si>
    <t>VENTAS Y MERCADOTECNIA</t>
  </si>
  <si>
    <t>COSTOS TOTALES</t>
  </si>
  <si>
    <t>PRECIOS DE VENTA DE LAS UNIDADES DE VIVIENDA</t>
  </si>
  <si>
    <t>SIN ELEVADOR NI ESTACIONAMIENTO (4 NIVELES)</t>
  </si>
  <si>
    <t>PRECIO MÁXIMO OBJETIVO GRUPO SE C</t>
  </si>
  <si>
    <t>PRECIO MÁXIMO OBJETIVO GRUPO SE C-</t>
  </si>
  <si>
    <t>% del costo de construcción considerando indirectos y gastos administrativos del constructor</t>
  </si>
  <si>
    <t>NOVOA (VALUADOR)</t>
  </si>
  <si>
    <t>HECTOR GOMEZ</t>
  </si>
  <si>
    <t>ANTES DE IMPUESTOS</t>
  </si>
  <si>
    <t>TOTAL DESPUES DE IMPUESTOS</t>
  </si>
  <si>
    <t>IMPUESTO SOBRE LA TRANSMISIÓN DE LA PROPIEDAD (ITP)</t>
  </si>
  <si>
    <t>ITP</t>
  </si>
  <si>
    <t>LIMITE INFERIOR</t>
  </si>
  <si>
    <t>LIMITE SUPERIOR</t>
  </si>
  <si>
    <t>CUOTA FIJA</t>
  </si>
  <si>
    <t>% SOBRE EXCEDENTE</t>
  </si>
  <si>
    <t>En adelante</t>
  </si>
  <si>
    <t>TRÁMITES Y PERMISOS</t>
  </si>
  <si>
    <t>UTILIDAD DEL DESARROLLADOR E INVERSIONISTAS</t>
  </si>
  <si>
    <t>IMIC</t>
  </si>
  <si>
    <t>COSTO DE TRÁMITES GUBERNAMENTALES E IMPUESTO POR LA COMPRA DEL TERRENO</t>
  </si>
  <si>
    <t xml:space="preserve">COMISIÓN DE LOS VENDEDORES </t>
  </si>
  <si>
    <t>PUBLICIDAD EN MEDIOS IMPRESOS Y DIGITALES</t>
  </si>
  <si>
    <t>ZONA</t>
  </si>
  <si>
    <t>ICUS</t>
  </si>
  <si>
    <t>ÁREA DE ACUERDO A CUS + ICUS</t>
  </si>
  <si>
    <t>GEOMETRÍA DEL TERRENO</t>
  </si>
  <si>
    <t>RETRANQUEO</t>
  </si>
  <si>
    <t>TIPO A</t>
  </si>
  <si>
    <t>ÁREA RESULTANTE PARA DEPARTAMENTOS EN NIVELES 1,2 Y 3</t>
  </si>
  <si>
    <t>*Niveles 4 y 5 con retranqueo de 5m</t>
  </si>
  <si>
    <t>ÁREA RESULTANTE PARA DEPARTAMENTOS EN NIVELES 4 y 5</t>
  </si>
  <si>
    <t>ALTURA RESULTANTE DE LA EDIFICACIÓN</t>
  </si>
  <si>
    <t>ÁREA RESULTANTE EN NIVELES CON RETRANQUEO (5M HACIA ATRÁS X TODO EL FRENTE DEL PREDIO)</t>
  </si>
  <si>
    <t xml:space="preserve">5 x 20 </t>
  </si>
  <si>
    <t>SECCIÓN ESQUEMÁTICA DE NIVELES CONSTRUIDOS</t>
  </si>
  <si>
    <t>*10% del área por nivel ó mínimo funcional son 10m2 para escalera y pasillo</t>
  </si>
  <si>
    <t xml:space="preserve"> </t>
  </si>
  <si>
    <t>GASTOS NOTARIALES E ITP</t>
  </si>
  <si>
    <t>PRECIO POR M2 VENDIBLE</t>
  </si>
  <si>
    <t>PRECIO VIVIENDAS DE 95 m2</t>
  </si>
  <si>
    <t>PRECIO VIVIENDAS DE 60 m2</t>
  </si>
  <si>
    <t>SUPERFICIE ESCRITURAS</t>
  </si>
  <si>
    <t>MAR ROJO 1140</t>
  </si>
  <si>
    <t>RESULTANTE</t>
  </si>
  <si>
    <t>RECTANGURAL COMPUESTA</t>
  </si>
  <si>
    <t>10x41</t>
  </si>
  <si>
    <t>MEDIDAS DE FRENTE Y FONDO DEL TERRENO</t>
  </si>
  <si>
    <t>0.25 por vivienda con posibilidad de reducción 50%</t>
  </si>
  <si>
    <t>NA</t>
  </si>
  <si>
    <t>ÁREA DE DESPLANTE DESPUÉS DE RESTRICCIONES Y COS</t>
  </si>
  <si>
    <t>CUADRO DE CONSTRUCCIÓN</t>
  </si>
  <si>
    <t>ÁREA RESULTANTE PARA DEPARTAMENTOS EN NIVELES TODOS LOS NIVELES</t>
  </si>
  <si>
    <t>TOTAL DE VIVIENDAS FACTIBLES DE 70m2 por nivel</t>
  </si>
  <si>
    <t>TOTAL DE VIVIENDAS EN EL EDIFICIO</t>
  </si>
  <si>
    <t>TOTAL DE VIVIENDAS FACTIBLES DE 95m2 por nivel</t>
  </si>
  <si>
    <t>TOTAL DE VIVIENDAS FACTIBLES DE 60m2 por nivel</t>
  </si>
  <si>
    <t>CAJONES REQUERIDOS DE ACUERDO A NORMA</t>
  </si>
  <si>
    <t>PRECIO VIVIENDAS DE 90 m2</t>
  </si>
  <si>
    <t>PRECIO VIVIENDAS DE 70 m2</t>
  </si>
  <si>
    <t>UTILIDAD DEL DESARROLLADOR ó INVERSIONISTAS</t>
  </si>
  <si>
    <t xml:space="preserve">0.25 por vivienda </t>
  </si>
  <si>
    <t>RECTANGULAR COMPUESTA</t>
  </si>
  <si>
    <t xml:space="preserve"> Calz. del Águila 64-A</t>
  </si>
  <si>
    <t>18x36</t>
  </si>
  <si>
    <t>N11</t>
  </si>
  <si>
    <t>N12</t>
  </si>
  <si>
    <t>MAGISTERIO 1093</t>
  </si>
  <si>
    <t>8.70X 29.90</t>
  </si>
  <si>
    <t xml:space="preserve">RECTANGULAR </t>
  </si>
  <si>
    <t>Av. Manuel Ávila Camacho 1800</t>
  </si>
  <si>
    <t xml:space="preserve"> Querétaro 1054</t>
  </si>
  <si>
    <t>TOTAL DE VIVIENDAS FACTIBLES DE 90m2 por nivel</t>
  </si>
  <si>
    <t>Calzada Independencia 4174c</t>
  </si>
  <si>
    <t xml:space="preserve">RECTANGULAR COMPUESTA </t>
  </si>
  <si>
    <t>29.39X44.61</t>
  </si>
  <si>
    <t>Calz. Independencia Norte 4218</t>
  </si>
  <si>
    <t xml:space="preserve">RECTANGULAR  </t>
  </si>
  <si>
    <t>25.23X50</t>
  </si>
  <si>
    <t>Francisco Gómez de Mendiola 1306</t>
  </si>
  <si>
    <t xml:space="preserve">RECTANGULAR COMPUESTA  </t>
  </si>
  <si>
    <t>Obregón 728, Col. Oblatos</t>
  </si>
  <si>
    <t>Acuarelas 67 Manantial</t>
  </si>
  <si>
    <t xml:space="preserve">RECTANGULAR   </t>
  </si>
  <si>
    <t xml:space="preserve">SUPERFICIE DE DESPLANTE ACTUAL </t>
  </si>
  <si>
    <t xml:space="preserve">SUPERFICIE EN CARTOGRAFIA </t>
  </si>
  <si>
    <t xml:space="preserve">SUPERFICIE DE CARTOGRAFIA </t>
  </si>
  <si>
    <t>C. 8-A 1515 Ferrocarril</t>
  </si>
  <si>
    <t>11.46x23.95</t>
  </si>
  <si>
    <t>Tecolote, 8 de Julio</t>
  </si>
  <si>
    <t>1 por vivienda con posibilidad de reducción 50%</t>
  </si>
  <si>
    <t>J.R.Bermejo 1664</t>
  </si>
  <si>
    <t>TOTAL DE VIVIENDAS FACTIBLES DE 50m2 por nivel</t>
  </si>
  <si>
    <t>Perú 2612</t>
  </si>
  <si>
    <t xml:space="preserve">DEMOLICION </t>
  </si>
  <si>
    <t xml:space="preserve">COSTO DEMOLICION M2 </t>
  </si>
  <si>
    <t xml:space="preserve">SUPERFICIE CONSTRUIDA ACTUAL </t>
  </si>
  <si>
    <t>Garibaldi 414, Zona Centro</t>
  </si>
  <si>
    <t>C.Juan Álvarez 877, Artesanos</t>
  </si>
  <si>
    <t>TIPO B</t>
  </si>
  <si>
    <t>10X29.80</t>
  </si>
  <si>
    <t xml:space="preserve">TIPO A </t>
  </si>
  <si>
    <t xml:space="preserve">RESULTANTE </t>
  </si>
  <si>
    <t>C. Jarauta 291</t>
  </si>
  <si>
    <t>17.70X11</t>
  </si>
  <si>
    <t>RECTANGULAR COMPUESTO</t>
  </si>
  <si>
    <t>José Palomar 179-Z</t>
  </si>
  <si>
    <t>ÁREA RESULTANTE PARA DEPARTAMENTOS EN NIVELES 1,2 y 3</t>
  </si>
  <si>
    <t>8X16</t>
  </si>
  <si>
    <t>ÁREA RESULTANTE PARA DEPARTAMENTOS EN NIVELES 1,2,3 Y 4</t>
  </si>
  <si>
    <t>ÁREA RESULTANTE PARA DEPARTAMENTOS EN NIVELES  5 Y 6</t>
  </si>
  <si>
    <t>6.20X23.70</t>
  </si>
  <si>
    <t xml:space="preserve">ÁREA RESULTANTE PARA DEPARTAMENTOS EN NIVELES 1,2,3 </t>
  </si>
  <si>
    <t>ÁREA RESULTANTE PARA DEPARTAMENTOS EN NIVELES  4 Y 5</t>
  </si>
  <si>
    <t>Manuel Acuña 779</t>
  </si>
  <si>
    <t>13X29</t>
  </si>
  <si>
    <t xml:space="preserve">ÁREA RESULTANTE PARA DEPARTAMENTOS EN NIVELES 1,2,3, 4 Y 5 </t>
  </si>
  <si>
    <t>ÁREA RESULTANTE PARA DEPARTAMENTOS EN NIVELES  6,7 Y 8</t>
  </si>
  <si>
    <t>Mezquitan 524</t>
  </si>
  <si>
    <t>10X26.20</t>
  </si>
  <si>
    <t>ÁREA RESULTANTE PARA DEPARTAMENTOS EN NIVELES 1,2,3</t>
  </si>
  <si>
    <t>ÁREA RESULTANTE PARA DEPARTAMENTOS EN NIVELES  4  Y 5</t>
  </si>
  <si>
    <t>C. Miguel Blanco 1032, Centro</t>
  </si>
  <si>
    <t>9X21.90</t>
  </si>
  <si>
    <t xml:space="preserve"> Pino Suárez 257</t>
  </si>
  <si>
    <t>7X21.5</t>
  </si>
  <si>
    <t>San Felipe 827</t>
  </si>
  <si>
    <t xml:space="preserve">TIPO B </t>
  </si>
  <si>
    <t>9.7X35.32</t>
  </si>
  <si>
    <t xml:space="preserve">ÁREA RESULTANTE PARA DEPARTAMENTOS EN NIVELES 1,2,3, 4 </t>
  </si>
  <si>
    <t xml:space="preserve">ÁREA RESULTANTE PARA DEPARTAMENTOS EN NIVELES   5 Y 6 </t>
  </si>
  <si>
    <t xml:space="preserve"> Calle Gral. Eulogio Parra 133</t>
  </si>
  <si>
    <t>20X29.3</t>
  </si>
  <si>
    <t>ÁREA RESULTANTE PARA DEPARTAMENTOS EN NIVELES   4 Y 5</t>
  </si>
  <si>
    <t xml:space="preserve">IRREGULAR </t>
  </si>
  <si>
    <t>370 C. Josefa Ortiz de Domínguez</t>
  </si>
  <si>
    <t>22X29</t>
  </si>
  <si>
    <t>ÁREA RESULTANTE PARA DEPARTAMENTOS EN NIVELES   4 , 5 Y 6</t>
  </si>
  <si>
    <t>Av. Colón 792C</t>
  </si>
  <si>
    <t xml:space="preserve">REGULAR COMPUESTO </t>
  </si>
  <si>
    <t>14X33</t>
  </si>
  <si>
    <t xml:space="preserve">ÁREA RESULTANTE PARA DEPARTAMENTOS EN NIVELES   5 </t>
  </si>
  <si>
    <t>Av. 8 de Julio 728</t>
  </si>
  <si>
    <t>30.5X35.5</t>
  </si>
  <si>
    <t>Av Enrique Díaz de León Nte 1346</t>
  </si>
  <si>
    <t>8.4X22.4</t>
  </si>
  <si>
    <t>Francisco Gómez de Mendiola 1038</t>
  </si>
  <si>
    <t>5.3x26.5</t>
  </si>
  <si>
    <t>Calz Federalismo Norte 3495</t>
  </si>
  <si>
    <t>30X30</t>
  </si>
  <si>
    <t xml:space="preserve"> C. Juan Manuel 63</t>
  </si>
  <si>
    <t>43.74 x 21.09</t>
  </si>
  <si>
    <t>ÁREA RESULTANTE PARA DEPARTAMENTOS EN NIVELES 1,2 , 3</t>
  </si>
  <si>
    <t>ÁREA RESULTANTE PARA DEPARTAMENTOS EN NIVELES  4, 5  6 Y 7</t>
  </si>
  <si>
    <t>Rango de precio objetivo por vivienda</t>
  </si>
  <si>
    <t xml:space="preserve">TOTAL DE VIVIENDAS FACTIBLES DE 70m2 </t>
  </si>
  <si>
    <t xml:space="preserve">TOTAL DE VIVIENDAS FACTIBLES DE 95m2 </t>
  </si>
  <si>
    <t xml:space="preserve">TOTAL DE VIVIENDAS FACTIBLES DE 60m2 </t>
  </si>
  <si>
    <t>A 05</t>
  </si>
  <si>
    <t>A</t>
  </si>
  <si>
    <t>ALTURA DE LA EDIFICACIÓN</t>
  </si>
  <si>
    <t>A 01</t>
  </si>
  <si>
    <t>A 02</t>
  </si>
  <si>
    <t>A 03</t>
  </si>
  <si>
    <t>TOTALES POR TIPOLOGÍA</t>
  </si>
  <si>
    <t>A 04</t>
  </si>
  <si>
    <t>COSTO POR M2 DE TERRENO</t>
  </si>
  <si>
    <t>A 12</t>
  </si>
  <si>
    <t>B 01</t>
  </si>
  <si>
    <t>B</t>
  </si>
  <si>
    <t>TOTAL CONSTRUCCIÓN</t>
  </si>
  <si>
    <t>TOTAL SUPERFICIE DE CONSTRUCCIÓN</t>
  </si>
  <si>
    <t>B 02</t>
  </si>
  <si>
    <t>B 03</t>
  </si>
  <si>
    <t>B 04</t>
  </si>
  <si>
    <t>C 01</t>
  </si>
  <si>
    <t>C</t>
  </si>
  <si>
    <t>C 02</t>
  </si>
  <si>
    <t>C 03</t>
  </si>
  <si>
    <t>ÁREA DE CIRCULACIÓN POR NIVEL</t>
  </si>
  <si>
    <t>D 01</t>
  </si>
  <si>
    <t>D</t>
  </si>
  <si>
    <t>D 02</t>
  </si>
  <si>
    <t>D 03</t>
  </si>
  <si>
    <t>D 04</t>
  </si>
  <si>
    <t>E 01</t>
  </si>
  <si>
    <t>E</t>
  </si>
  <si>
    <t>E 02</t>
  </si>
  <si>
    <t>E 03</t>
  </si>
  <si>
    <t>F</t>
  </si>
  <si>
    <t>F 02</t>
  </si>
  <si>
    <t>F 01</t>
  </si>
  <si>
    <t>PRECIO MÁXIMO DE VIVIENDA</t>
  </si>
  <si>
    <t xml:space="preserve">PRECIO OBJETIVO DE VIVIENDA </t>
  </si>
  <si>
    <t>unidades</t>
  </si>
  <si>
    <t>cajones</t>
  </si>
  <si>
    <t>TOTAL CUS + ICUS</t>
  </si>
  <si>
    <t>PRECIO VIVIENDAS DE 70m2</t>
  </si>
  <si>
    <t>A 06</t>
  </si>
  <si>
    <t>A 07</t>
  </si>
  <si>
    <t>A 08</t>
  </si>
  <si>
    <t>A 09</t>
  </si>
  <si>
    <t>A10</t>
  </si>
  <si>
    <t xml:space="preserve">ÁREA RESULTANTE PARA DEPARTAMENTOS EN TODOS LOS NIVELES </t>
  </si>
  <si>
    <t>A 11</t>
  </si>
  <si>
    <t>B 05</t>
  </si>
  <si>
    <t>B 06</t>
  </si>
  <si>
    <t>F 03</t>
  </si>
  <si>
    <t>Columna 1</t>
  </si>
  <si>
    <t>Columna 2</t>
  </si>
  <si>
    <t>Columna 3</t>
  </si>
  <si>
    <t>Columna 4</t>
  </si>
  <si>
    <t>Columna 5</t>
  </si>
  <si>
    <t>Columna 6</t>
  </si>
  <si>
    <t>Columna 7</t>
  </si>
  <si>
    <t>Columna 8</t>
  </si>
  <si>
    <t>Columna 9</t>
  </si>
  <si>
    <t>Columna 10</t>
  </si>
  <si>
    <t>Columna 11</t>
  </si>
  <si>
    <t>Columna 12</t>
  </si>
  <si>
    <t>Columna 13</t>
  </si>
  <si>
    <t>Columna 14</t>
  </si>
  <si>
    <t>Columna 15</t>
  </si>
  <si>
    <t>Columna 16</t>
  </si>
  <si>
    <t>Columna 17</t>
  </si>
  <si>
    <t>Columna 18</t>
  </si>
  <si>
    <t>Columna 19</t>
  </si>
  <si>
    <t>Columna 20</t>
  </si>
  <si>
    <t>Columna 21</t>
  </si>
  <si>
    <t>Columna 22</t>
  </si>
  <si>
    <t>Columna 23</t>
  </si>
  <si>
    <t>Columna 24</t>
  </si>
  <si>
    <t>Columna 25</t>
  </si>
  <si>
    <t>Columna 26</t>
  </si>
  <si>
    <t>Columna 27</t>
  </si>
  <si>
    <t>Columna 28</t>
  </si>
  <si>
    <t>Columna 29</t>
  </si>
  <si>
    <t>Columna 30</t>
  </si>
  <si>
    <t>Columna 31</t>
  </si>
  <si>
    <t>Columna 32</t>
  </si>
  <si>
    <t>Columna 33</t>
  </si>
  <si>
    <t>Columna 34</t>
  </si>
  <si>
    <t>F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</si>
</sst>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0.0%"/>
  </numFmts>
  <fonts count="2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2" tint="-9.9978637043366805E-2"/>
      <name val="Calibri"/>
      <family val="2"/>
      <scheme val="minor"/>
    </font>
    <font>
      <sz val="12"/>
      <color theme="2" tint="-9.9978637043366805E-2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b/>
      <sz val="12"/>
      <color theme="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BDBDB"/>
        <bgColor rgb="FF000000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9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9" fontId="0" fillId="0" borderId="0" xfId="2" applyFont="1"/>
    <xf numFmtId="8" fontId="0" fillId="0" borderId="0" xfId="0" applyNumberFormat="1"/>
    <xf numFmtId="0" fontId="0" fillId="2" borderId="0" xfId="0" applyFill="1"/>
    <xf numFmtId="0" fontId="1" fillId="2" borderId="0" xfId="0" applyFont="1" applyFill="1"/>
    <xf numFmtId="2" fontId="0" fillId="0" borderId="0" xfId="0" applyNumberFormat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3" xfId="0" applyBorder="1"/>
    <xf numFmtId="0" fontId="0" fillId="3" borderId="0" xfId="0" applyFill="1"/>
    <xf numFmtId="0" fontId="2" fillId="3" borderId="0" xfId="0" applyFont="1" applyFill="1"/>
    <xf numFmtId="44" fontId="0" fillId="0" borderId="0" xfId="1" applyFont="1"/>
    <xf numFmtId="164" fontId="0" fillId="0" borderId="0" xfId="0" applyNumberFormat="1"/>
    <xf numFmtId="10" fontId="0" fillId="0" borderId="0" xfId="0" applyNumberFormat="1"/>
    <xf numFmtId="0" fontId="3" fillId="5" borderId="2" xfId="0" applyFont="1" applyFill="1" applyBorder="1" applyAlignment="1">
      <alignment horizontal="center"/>
    </xf>
    <xf numFmtId="4" fontId="0" fillId="0" borderId="2" xfId="0" applyNumberFormat="1" applyBorder="1" applyAlignment="1">
      <alignment horizontal="center"/>
    </xf>
    <xf numFmtId="10" fontId="0" fillId="0" borderId="2" xfId="2" applyNumberFormat="1" applyFont="1" applyBorder="1" applyAlignment="1">
      <alignment horizontal="center"/>
    </xf>
    <xf numFmtId="0" fontId="0" fillId="0" borderId="7" xfId="0" applyBorder="1"/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/>
    <xf numFmtId="6" fontId="0" fillId="0" borderId="0" xfId="0" applyNumberFormat="1"/>
    <xf numFmtId="9" fontId="0" fillId="0" borderId="0" xfId="2" applyFont="1" applyBorder="1"/>
    <xf numFmtId="0" fontId="0" fillId="0" borderId="9" xfId="0" applyBorder="1"/>
    <xf numFmtId="0" fontId="0" fillId="0" borderId="1" xfId="0" applyBorder="1"/>
    <xf numFmtId="9" fontId="0" fillId="0" borderId="1" xfId="2" applyFont="1" applyBorder="1"/>
    <xf numFmtId="0" fontId="0" fillId="0" borderId="10" xfId="0" applyBorder="1"/>
    <xf numFmtId="0" fontId="0" fillId="0" borderId="0" xfId="0" applyAlignment="1">
      <alignment vertical="center" wrapText="1"/>
    </xf>
    <xf numFmtId="6" fontId="0" fillId="0" borderId="8" xfId="0" applyNumberFormat="1" applyBorder="1"/>
    <xf numFmtId="0" fontId="0" fillId="0" borderId="0" xfId="0" applyAlignment="1">
      <alignment horizontal="center"/>
    </xf>
    <xf numFmtId="9" fontId="2" fillId="0" borderId="0" xfId="2" applyFont="1"/>
    <xf numFmtId="0" fontId="7" fillId="0" borderId="0" xfId="0" applyFont="1" applyAlignment="1">
      <alignment horizontal="left"/>
    </xf>
    <xf numFmtId="164" fontId="2" fillId="0" borderId="0" xfId="2" applyNumberFormat="1" applyFont="1" applyAlignment="1">
      <alignment horizontal="right"/>
    </xf>
    <xf numFmtId="9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0" xfId="0" applyAlignment="1">
      <alignment horizontal="right" wrapText="1"/>
    </xf>
    <xf numFmtId="0" fontId="8" fillId="0" borderId="0" xfId="0" applyFont="1"/>
    <xf numFmtId="0" fontId="0" fillId="7" borderId="0" xfId="0" applyFill="1"/>
    <xf numFmtId="0" fontId="0" fillId="8" borderId="0" xfId="0" applyFill="1" applyAlignment="1">
      <alignment wrapText="1"/>
    </xf>
    <xf numFmtId="0" fontId="0" fillId="8" borderId="0" xfId="0" applyFill="1"/>
    <xf numFmtId="0" fontId="2" fillId="7" borderId="0" xfId="0" applyFont="1" applyFill="1"/>
    <xf numFmtId="2" fontId="2" fillId="8" borderId="0" xfId="0" applyNumberFormat="1" applyFont="1" applyFill="1"/>
    <xf numFmtId="0" fontId="9" fillId="0" borderId="0" xfId="0" applyFont="1"/>
    <xf numFmtId="8" fontId="2" fillId="0" borderId="0" xfId="0" applyNumberFormat="1" applyFont="1"/>
    <xf numFmtId="0" fontId="10" fillId="9" borderId="0" xfId="0" applyFont="1" applyFill="1"/>
    <xf numFmtId="8" fontId="10" fillId="9" borderId="0" xfId="0" applyNumberFormat="1" applyFont="1" applyFill="1"/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44" fontId="0" fillId="0" borderId="0" xfId="1" applyFont="1" applyFill="1"/>
    <xf numFmtId="0" fontId="11" fillId="0" borderId="0" xfId="0" applyFont="1" applyAlignment="1">
      <alignment wrapText="1"/>
    </xf>
    <xf numFmtId="0" fontId="0" fillId="4" borderId="0" xfId="0" applyFill="1"/>
    <xf numFmtId="2" fontId="0" fillId="0" borderId="0" xfId="2" applyNumberFormat="1" applyFont="1"/>
    <xf numFmtId="44" fontId="0" fillId="0" borderId="0" xfId="1" applyFont="1" applyFill="1" applyBorder="1"/>
    <xf numFmtId="0" fontId="0" fillId="0" borderId="2" xfId="0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0" fillId="0" borderId="0" xfId="0" applyFont="1"/>
    <xf numFmtId="8" fontId="10" fillId="0" borderId="0" xfId="0" applyNumberFormat="1" applyFont="1"/>
    <xf numFmtId="0" fontId="14" fillId="0" borderId="0" xfId="0" applyFont="1"/>
    <xf numFmtId="2" fontId="2" fillId="10" borderId="0" xfId="0" applyNumberFormat="1" applyFont="1" applyFill="1"/>
    <xf numFmtId="0" fontId="0" fillId="10" borderId="0" xfId="0" applyFill="1" applyAlignment="1">
      <alignment wrapText="1"/>
    </xf>
    <xf numFmtId="0" fontId="0" fillId="10" borderId="0" xfId="0" applyFill="1"/>
    <xf numFmtId="2" fontId="0" fillId="10" borderId="0" xfId="0" applyNumberFormat="1" applyFill="1"/>
    <xf numFmtId="0" fontId="15" fillId="0" borderId="0" xfId="0" applyFont="1"/>
    <xf numFmtId="0" fontId="2" fillId="11" borderId="0" xfId="0" applyFont="1" applyFill="1"/>
    <xf numFmtId="0" fontId="2" fillId="11" borderId="2" xfId="0" applyFont="1" applyFill="1" applyBorder="1" applyAlignment="1">
      <alignment horizontal="center"/>
    </xf>
    <xf numFmtId="8" fontId="2" fillId="0" borderId="0" xfId="0" applyNumberFormat="1" applyFont="1" applyAlignment="1">
      <alignment horizontal="center"/>
    </xf>
    <xf numFmtId="8" fontId="2" fillId="11" borderId="0" xfId="0" applyNumberFormat="1" applyFont="1" applyFill="1"/>
    <xf numFmtId="2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0" fontId="17" fillId="0" borderId="0" xfId="0" applyFont="1"/>
    <xf numFmtId="0" fontId="2" fillId="12" borderId="0" xfId="0" applyFont="1" applyFill="1"/>
    <xf numFmtId="0" fontId="2" fillId="12" borderId="2" xfId="0" applyFont="1" applyFill="1" applyBorder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44" fontId="2" fillId="0" borderId="0" xfId="0" applyNumberFormat="1" applyFont="1"/>
    <xf numFmtId="8" fontId="2" fillId="12" borderId="0" xfId="0" applyNumberFormat="1" applyFont="1" applyFill="1"/>
    <xf numFmtId="2" fontId="19" fillId="14" borderId="2" xfId="0" applyNumberFormat="1" applyFont="1" applyFill="1" applyBorder="1" applyAlignment="1">
      <alignment horizontal="center"/>
    </xf>
    <xf numFmtId="0" fontId="18" fillId="14" borderId="3" xfId="0" applyFont="1" applyFill="1" applyBorder="1" applyAlignment="1">
      <alignment horizontal="center"/>
    </xf>
    <xf numFmtId="8" fontId="2" fillId="7" borderId="0" xfId="0" applyNumberFormat="1" applyFont="1" applyFill="1"/>
    <xf numFmtId="2" fontId="2" fillId="15" borderId="0" xfId="0" applyNumberFormat="1" applyFont="1" applyFill="1" applyAlignment="1">
      <alignment horizontal="right"/>
    </xf>
    <xf numFmtId="2" fontId="2" fillId="7" borderId="0" xfId="0" applyNumberFormat="1" applyFont="1" applyFill="1"/>
    <xf numFmtId="0" fontId="2" fillId="7" borderId="0" xfId="0" applyFont="1" applyFill="1" applyAlignment="1">
      <alignment horizontal="right"/>
    </xf>
    <xf numFmtId="44" fontId="2" fillId="7" borderId="0" xfId="0" applyNumberFormat="1" applyFont="1" applyFill="1"/>
    <xf numFmtId="44" fontId="2" fillId="7" borderId="0" xfId="1" applyFont="1" applyFill="1"/>
    <xf numFmtId="44" fontId="0" fillId="7" borderId="0" xfId="0" applyNumberFormat="1" applyFill="1"/>
    <xf numFmtId="0" fontId="16" fillId="7" borderId="0" xfId="0" applyFont="1" applyFill="1"/>
    <xf numFmtId="0" fontId="16" fillId="0" borderId="0" xfId="0" applyFont="1"/>
    <xf numFmtId="0" fontId="2" fillId="7" borderId="0" xfId="0" applyFont="1" applyFill="1" applyAlignment="1">
      <alignment horizontal="left"/>
    </xf>
    <xf numFmtId="0" fontId="2" fillId="7" borderId="0" xfId="0" applyFont="1" applyFill="1" applyAlignment="1">
      <alignment horizontal="center" vertical="center"/>
    </xf>
    <xf numFmtId="44" fontId="10" fillId="9" borderId="0" xfId="0" applyNumberFormat="1" applyFont="1" applyFill="1"/>
    <xf numFmtId="0" fontId="0" fillId="0" borderId="2" xfId="0" applyBorder="1" applyAlignment="1">
      <alignment horizontal="center" vertical="center" wrapText="1"/>
    </xf>
    <xf numFmtId="0" fontId="2" fillId="8" borderId="0" xfId="0" applyFont="1" applyFill="1"/>
    <xf numFmtId="0" fontId="0" fillId="9" borderId="2" xfId="0" applyFill="1" applyBorder="1"/>
    <xf numFmtId="0" fontId="0" fillId="10" borderId="0" xfId="0" applyFill="1" applyAlignment="1">
      <alignment vertical="center" wrapText="1"/>
    </xf>
    <xf numFmtId="2" fontId="0" fillId="0" borderId="0" xfId="0" applyNumberFormat="1" applyAlignment="1">
      <alignment horizontal="center" vertical="center"/>
    </xf>
    <xf numFmtId="44" fontId="2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0" fillId="8" borderId="0" xfId="0" applyFill="1" applyAlignment="1">
      <alignment vertical="center" wrapText="1"/>
    </xf>
    <xf numFmtId="0" fontId="20" fillId="0" borderId="0" xfId="0" applyFont="1"/>
    <xf numFmtId="44" fontId="0" fillId="0" borderId="0" xfId="3" applyFont="1" applyFill="1"/>
    <xf numFmtId="44" fontId="2" fillId="12" borderId="0" xfId="0" applyNumberFormat="1" applyFont="1" applyFill="1"/>
    <xf numFmtId="0" fontId="0" fillId="13" borderId="2" xfId="0" applyFill="1" applyBorder="1" applyAlignment="1">
      <alignment horizontal="center"/>
    </xf>
    <xf numFmtId="2" fontId="0" fillId="13" borderId="2" xfId="0" applyNumberFormat="1" applyFill="1" applyBorder="1" applyAlignment="1">
      <alignment horizontal="center"/>
    </xf>
    <xf numFmtId="0" fontId="21" fillId="0" borderId="0" xfId="0" applyFont="1"/>
    <xf numFmtId="0" fontId="0" fillId="0" borderId="0" xfId="0" applyAlignment="1">
      <alignment vertical="center"/>
    </xf>
    <xf numFmtId="44" fontId="20" fillId="0" borderId="0" xfId="0" applyNumberFormat="1" applyFont="1"/>
    <xf numFmtId="44" fontId="10" fillId="7" borderId="0" xfId="0" applyNumberFormat="1" applyFont="1" applyFill="1"/>
    <xf numFmtId="44" fontId="10" fillId="0" borderId="0" xfId="0" applyNumberFormat="1" applyFont="1"/>
    <xf numFmtId="44" fontId="2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2" fontId="2" fillId="11" borderId="2" xfId="0" applyNumberFormat="1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8" borderId="0" xfId="0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10" borderId="0" xfId="0" applyFill="1" applyAlignment="1">
      <alignment vertical="center" wrapText="1"/>
    </xf>
    <xf numFmtId="0" fontId="20" fillId="0" borderId="0" xfId="0" applyFont="1" applyAlignment="1">
      <alignment horizontal="center" wrapText="1"/>
    </xf>
    <xf numFmtId="0" fontId="0" fillId="10" borderId="0" xfId="0" applyFill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8" borderId="0" xfId="0" applyFill="1" applyAlignment="1">
      <alignment horizontal="left" vertical="center" wrapText="1"/>
    </xf>
    <xf numFmtId="0" fontId="0" fillId="10" borderId="0" xfId="0" applyFill="1" applyAlignment="1">
      <alignment horizontal="left" vertical="center" wrapText="1"/>
    </xf>
    <xf numFmtId="0" fontId="0" fillId="0" borderId="0" xfId="0" applyAlignment="1">
      <alignment horizontal="right" wrapText="1"/>
    </xf>
    <xf numFmtId="0" fontId="0" fillId="12" borderId="0" xfId="0" applyFill="1" applyAlignment="1">
      <alignment horizontal="center" wrapText="1"/>
    </xf>
    <xf numFmtId="0" fontId="0" fillId="12" borderId="0" xfId="0" applyFill="1" applyAlignment="1">
      <alignment horizontal="left" wrapText="1"/>
    </xf>
    <xf numFmtId="8" fontId="0" fillId="6" borderId="8" xfId="0" applyNumberFormat="1" applyFill="1" applyBorder="1"/>
  </cellXfs>
  <cellStyles count="4">
    <cellStyle name="Moneda" xfId="1" builtinId="4"/>
    <cellStyle name="Moneda 2" xfId="3" xr:uid="{8E22C122-6FFD-463F-80F2-59DB26DCE5F4}"/>
    <cellStyle name="Normal" xfId="0" builtinId="0"/>
    <cellStyle name="Porcentaje" xfId="2" builtinId="5"/>
  </cellStyles>
  <dxfs count="4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2" formatCode="&quot;$&quot;#,##0.00;[Red]\-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2" formatCode="&quot;$&quot;#,##0.00;[Red]\-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2" formatCode="&quot;$&quot;#,##0.00;[Red]\-&quot;$&quot;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34" formatCode="_-&quot;$&quot;* #,##0.00_-;\-&quot;$&quot;* #,##0.00_-;_-&quot;$&quot;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763536</xdr:colOff>
      <xdr:row>6</xdr:row>
      <xdr:rowOff>59040</xdr:rowOff>
    </xdr:from>
    <xdr:to>
      <xdr:col>6</xdr:col>
      <xdr:colOff>2001097</xdr:colOff>
      <xdr:row>23</xdr:row>
      <xdr:rowOff>317500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318" t="5965" r="20968" b="3085"/>
        <a:stretch/>
      </xdr:blipFill>
      <xdr:spPr>
        <a:xfrm>
          <a:off x="8129536" y="1583040"/>
          <a:ext cx="1237561" cy="3916060"/>
        </a:xfrm>
        <a:prstGeom prst="rect">
          <a:avLst/>
        </a:prstGeom>
      </xdr:spPr>
    </xdr:pic>
    <xdr:clientData/>
  </xdr:twoCellAnchor>
  <xdr:twoCellAnchor editAs="oneCell">
    <xdr:from>
      <xdr:col>6</xdr:col>
      <xdr:colOff>587375</xdr:colOff>
      <xdr:row>42</xdr:row>
      <xdr:rowOff>164172</xdr:rowOff>
    </xdr:from>
    <xdr:to>
      <xdr:col>6</xdr:col>
      <xdr:colOff>2778125</xdr:colOff>
      <xdr:row>57</xdr:row>
      <xdr:rowOff>95252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399" t="8299" r="18650" b="10035"/>
        <a:stretch/>
      </xdr:blipFill>
      <xdr:spPr>
        <a:xfrm>
          <a:off x="7937500" y="8879547"/>
          <a:ext cx="2190750" cy="38204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539750</xdr:colOff>
      <xdr:row>6</xdr:row>
      <xdr:rowOff>111125</xdr:rowOff>
    </xdr:from>
    <xdr:to>
      <xdr:col>6</xdr:col>
      <xdr:colOff>2665965</xdr:colOff>
      <xdr:row>23</xdr:row>
      <xdr:rowOff>174625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440249-734E-EF88-E436-F7F355E43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154" t="5847" r="13386" b="3205"/>
        <a:stretch/>
      </xdr:blipFill>
      <xdr:spPr>
        <a:xfrm>
          <a:off x="7699375" y="1349375"/>
          <a:ext cx="2126215" cy="42386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49</xdr:row>
      <xdr:rowOff>619125</xdr:rowOff>
    </xdr:from>
    <xdr:to>
      <xdr:col>6</xdr:col>
      <xdr:colOff>3274841</xdr:colOff>
      <xdr:row>55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E82D0F-A265-1791-6C37-E9838930C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88" t="11658" r="7611" b="14168"/>
        <a:stretch/>
      </xdr:blipFill>
      <xdr:spPr>
        <a:xfrm>
          <a:off x="7207251" y="11969750"/>
          <a:ext cx="3227215" cy="1555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444500</xdr:colOff>
      <xdr:row>6</xdr:row>
      <xdr:rowOff>79375</xdr:rowOff>
    </xdr:from>
    <xdr:to>
      <xdr:col>6</xdr:col>
      <xdr:colOff>2534540</xdr:colOff>
      <xdr:row>23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DC9F74-0F7C-79AB-D743-B916F4D86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54" t="5205" r="11286" b="-713"/>
        <a:stretch/>
      </xdr:blipFill>
      <xdr:spPr>
        <a:xfrm>
          <a:off x="7604125" y="1317625"/>
          <a:ext cx="2090040" cy="4206875"/>
        </a:xfrm>
        <a:prstGeom prst="rect">
          <a:avLst/>
        </a:prstGeom>
      </xdr:spPr>
    </xdr:pic>
    <xdr:clientData/>
  </xdr:twoCellAnchor>
  <xdr:twoCellAnchor editAs="oneCell">
    <xdr:from>
      <xdr:col>6</xdr:col>
      <xdr:colOff>9977</xdr:colOff>
      <xdr:row>50</xdr:row>
      <xdr:rowOff>217714</xdr:rowOff>
    </xdr:from>
    <xdr:to>
      <xdr:col>6</xdr:col>
      <xdr:colOff>3249172</xdr:colOff>
      <xdr:row>57</xdr:row>
      <xdr:rowOff>131536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CB4E4E-A9B0-9AC8-9C36-AAFF7D58F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080" t="12738" b="16422"/>
        <a:stretch/>
      </xdr:blipFill>
      <xdr:spPr>
        <a:xfrm>
          <a:off x="7169602" y="11742964"/>
          <a:ext cx="3239195" cy="21521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746125</xdr:colOff>
      <xdr:row>6</xdr:row>
      <xdr:rowOff>50655</xdr:rowOff>
    </xdr:from>
    <xdr:to>
      <xdr:col>6</xdr:col>
      <xdr:colOff>2349500</xdr:colOff>
      <xdr:row>23</xdr:row>
      <xdr:rowOff>84458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5D6467-9A34-A27F-2731-C6CDE8458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330" r="17444"/>
        <a:stretch/>
      </xdr:blipFill>
      <xdr:spPr>
        <a:xfrm>
          <a:off x="7905750" y="1288905"/>
          <a:ext cx="1603375" cy="4351803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41</xdr:row>
      <xdr:rowOff>63500</xdr:rowOff>
    </xdr:from>
    <xdr:to>
      <xdr:col>6</xdr:col>
      <xdr:colOff>3270250</xdr:colOff>
      <xdr:row>48</xdr:row>
      <xdr:rowOff>201848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FC4611-DA88-7D81-C303-90AD6D8E0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50" t="16617" r="5069" b="14221"/>
        <a:stretch/>
      </xdr:blipFill>
      <xdr:spPr>
        <a:xfrm>
          <a:off x="7239000" y="10636250"/>
          <a:ext cx="3190875" cy="15829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698500</xdr:colOff>
      <xdr:row>6</xdr:row>
      <xdr:rowOff>0</xdr:rowOff>
    </xdr:from>
    <xdr:to>
      <xdr:col>6</xdr:col>
      <xdr:colOff>2508250</xdr:colOff>
      <xdr:row>22</xdr:row>
      <xdr:rowOff>161485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B74BB2-6494-3947-A4BE-FD8CD3AA3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500" t="5427" r="9714"/>
        <a:stretch/>
      </xdr:blipFill>
      <xdr:spPr>
        <a:xfrm>
          <a:off x="8112125" y="1238250"/>
          <a:ext cx="1809750" cy="4320735"/>
        </a:xfrm>
        <a:prstGeom prst="rect">
          <a:avLst/>
        </a:prstGeom>
      </xdr:spPr>
    </xdr:pic>
    <xdr:clientData/>
  </xdr:twoCellAnchor>
  <xdr:twoCellAnchor editAs="oneCell">
    <xdr:from>
      <xdr:col>6</xdr:col>
      <xdr:colOff>277531</xdr:colOff>
      <xdr:row>39</xdr:row>
      <xdr:rowOff>104689</xdr:rowOff>
    </xdr:from>
    <xdr:to>
      <xdr:col>6</xdr:col>
      <xdr:colOff>2885511</xdr:colOff>
      <xdr:row>50</xdr:row>
      <xdr:rowOff>165347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6891E3-627B-66DB-6408-816982FA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1156" y="9502689"/>
          <a:ext cx="2607980" cy="31245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16304</xdr:colOff>
      <xdr:row>5</xdr:row>
      <xdr:rowOff>202085</xdr:rowOff>
    </xdr:from>
    <xdr:to>
      <xdr:col>6</xdr:col>
      <xdr:colOff>2778125</xdr:colOff>
      <xdr:row>18</xdr:row>
      <xdr:rowOff>26500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194642-2D28-13F5-B718-5B60D26FD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929" y="1948335"/>
          <a:ext cx="2761821" cy="2888290"/>
        </a:xfrm>
        <a:prstGeom prst="rect">
          <a:avLst/>
        </a:prstGeom>
      </xdr:spPr>
    </xdr:pic>
    <xdr:clientData/>
  </xdr:twoCellAnchor>
  <xdr:twoCellAnchor editAs="oneCell">
    <xdr:from>
      <xdr:col>5</xdr:col>
      <xdr:colOff>465729</xdr:colOff>
      <xdr:row>37</xdr:row>
      <xdr:rowOff>65403</xdr:rowOff>
    </xdr:from>
    <xdr:to>
      <xdr:col>6</xdr:col>
      <xdr:colOff>2778126</xdr:colOff>
      <xdr:row>44</xdr:row>
      <xdr:rowOff>476250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3D7B7F8-E65A-44D7-91F0-3AF884392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3479" y="9034778"/>
          <a:ext cx="2947397" cy="18554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169956</xdr:colOff>
      <xdr:row>6</xdr:row>
      <xdr:rowOff>39221</xdr:rowOff>
    </xdr:from>
    <xdr:to>
      <xdr:col>6</xdr:col>
      <xdr:colOff>2295087</xdr:colOff>
      <xdr:row>22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5B699-8852-D5C0-B2B4-313D5B5A8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237" t="4873" r="10035" b="6768"/>
        <a:stretch/>
      </xdr:blipFill>
      <xdr:spPr>
        <a:xfrm>
          <a:off x="8107456" y="1277471"/>
          <a:ext cx="2125131" cy="3691404"/>
        </a:xfrm>
        <a:prstGeom prst="rect">
          <a:avLst/>
        </a:prstGeom>
      </xdr:spPr>
    </xdr:pic>
    <xdr:clientData/>
  </xdr:twoCellAnchor>
  <xdr:twoCellAnchor editAs="oneCell">
    <xdr:from>
      <xdr:col>5</xdr:col>
      <xdr:colOff>468250</xdr:colOff>
      <xdr:row>34</xdr:row>
      <xdr:rowOff>127001</xdr:rowOff>
    </xdr:from>
    <xdr:to>
      <xdr:col>7</xdr:col>
      <xdr:colOff>111126</xdr:colOff>
      <xdr:row>43</xdr:row>
      <xdr:rowOff>318628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6A40D1-B7F6-A2E3-73D6-C85FD41C6B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82" t="15595" r="9532" b="23128"/>
        <a:stretch/>
      </xdr:blipFill>
      <xdr:spPr>
        <a:xfrm>
          <a:off x="7675500" y="9255126"/>
          <a:ext cx="2770251" cy="20490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63500</xdr:colOff>
      <xdr:row>8</xdr:row>
      <xdr:rowOff>79375</xdr:rowOff>
    </xdr:from>
    <xdr:to>
      <xdr:col>7</xdr:col>
      <xdr:colOff>15875</xdr:colOff>
      <xdr:row>17</xdr:row>
      <xdr:rowOff>312805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858" t="10356" r="14492" b="15446"/>
        <a:stretch/>
      </xdr:blipFill>
      <xdr:spPr>
        <a:xfrm>
          <a:off x="8524875" y="2444750"/>
          <a:ext cx="2841625" cy="228130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33</xdr:row>
      <xdr:rowOff>142875</xdr:rowOff>
    </xdr:from>
    <xdr:to>
      <xdr:col>6</xdr:col>
      <xdr:colOff>2682875</xdr:colOff>
      <xdr:row>46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415" t="4985" r="17024" b="7720"/>
        <a:stretch/>
      </xdr:blipFill>
      <xdr:spPr>
        <a:xfrm>
          <a:off x="8286750" y="8540750"/>
          <a:ext cx="2587625" cy="3381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369625</xdr:colOff>
      <xdr:row>6</xdr:row>
      <xdr:rowOff>199029</xdr:rowOff>
    </xdr:from>
    <xdr:to>
      <xdr:col>6</xdr:col>
      <xdr:colOff>1841500</xdr:colOff>
      <xdr:row>22</xdr:row>
      <xdr:rowOff>66007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852" t="5944" r="10381" b="4738"/>
        <a:stretch/>
      </xdr:blipFill>
      <xdr:spPr>
        <a:xfrm>
          <a:off x="7513375" y="1437279"/>
          <a:ext cx="1471875" cy="3375353"/>
        </a:xfrm>
        <a:prstGeom prst="rect">
          <a:avLst/>
        </a:prstGeom>
      </xdr:spPr>
    </xdr:pic>
    <xdr:clientData/>
  </xdr:twoCellAnchor>
  <xdr:twoCellAnchor editAs="oneCell">
    <xdr:from>
      <xdr:col>6</xdr:col>
      <xdr:colOff>284328</xdr:colOff>
      <xdr:row>34</xdr:row>
      <xdr:rowOff>71083</xdr:rowOff>
    </xdr:from>
    <xdr:to>
      <xdr:col>6</xdr:col>
      <xdr:colOff>2202228</xdr:colOff>
      <xdr:row>50</xdr:row>
      <xdr:rowOff>99516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232" t="2951" r="8669" b="4478"/>
        <a:stretch/>
      </xdr:blipFill>
      <xdr:spPr>
        <a:xfrm>
          <a:off x="7449403" y="8046493"/>
          <a:ext cx="1917900" cy="40090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92982</xdr:colOff>
      <xdr:row>34</xdr:row>
      <xdr:rowOff>201840</xdr:rowOff>
    </xdr:from>
    <xdr:to>
      <xdr:col>6</xdr:col>
      <xdr:colOff>2637517</xdr:colOff>
      <xdr:row>43</xdr:row>
      <xdr:rowOff>498929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273" t="8836" r="17980" b="13162"/>
        <a:stretch/>
      </xdr:blipFill>
      <xdr:spPr>
        <a:xfrm>
          <a:off x="8053161" y="7862661"/>
          <a:ext cx="2544535" cy="2134054"/>
        </a:xfrm>
        <a:prstGeom prst="rect">
          <a:avLst/>
        </a:prstGeom>
      </xdr:spPr>
    </xdr:pic>
    <xdr:clientData/>
  </xdr:twoCellAnchor>
  <xdr:twoCellAnchor editAs="oneCell">
    <xdr:from>
      <xdr:col>6</xdr:col>
      <xdr:colOff>112843</xdr:colOff>
      <xdr:row>6</xdr:row>
      <xdr:rowOff>70365</xdr:rowOff>
    </xdr:from>
    <xdr:to>
      <xdr:col>6</xdr:col>
      <xdr:colOff>2587625</xdr:colOff>
      <xdr:row>19</xdr:row>
      <xdr:rowOff>113583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938" t="15318" r="8610" b="5802"/>
        <a:stretch/>
      </xdr:blipFill>
      <xdr:spPr>
        <a:xfrm>
          <a:off x="7637593" y="2022990"/>
          <a:ext cx="2474782" cy="29642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267891</xdr:colOff>
      <xdr:row>6</xdr:row>
      <xdr:rowOff>119062</xdr:rowOff>
    </xdr:from>
    <xdr:to>
      <xdr:col>6</xdr:col>
      <xdr:colOff>2708672</xdr:colOff>
      <xdr:row>22</xdr:row>
      <xdr:rowOff>209431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02" t="5852" r="10798"/>
        <a:stretch/>
      </xdr:blipFill>
      <xdr:spPr>
        <a:xfrm>
          <a:off x="7813477" y="1979414"/>
          <a:ext cx="2440781" cy="360271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14882</xdr:rowOff>
    </xdr:from>
    <xdr:to>
      <xdr:col>7</xdr:col>
      <xdr:colOff>0</xdr:colOff>
      <xdr:row>48</xdr:row>
      <xdr:rowOff>163709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109" t="8775" r="18147" b="17922"/>
        <a:stretch/>
      </xdr:blipFill>
      <xdr:spPr>
        <a:xfrm>
          <a:off x="7545586" y="9495234"/>
          <a:ext cx="2842617" cy="2113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666751</xdr:colOff>
      <xdr:row>6</xdr:row>
      <xdr:rowOff>0</xdr:rowOff>
    </xdr:from>
    <xdr:to>
      <xdr:col>6</xdr:col>
      <xdr:colOff>2587493</xdr:colOff>
      <xdr:row>21</xdr:row>
      <xdr:rowOff>174625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051" t="10077" r="24352" b="10228"/>
        <a:stretch/>
      </xdr:blipFill>
      <xdr:spPr>
        <a:xfrm>
          <a:off x="7953376" y="1428750"/>
          <a:ext cx="1920742" cy="38576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36</xdr:row>
      <xdr:rowOff>53973</xdr:rowOff>
    </xdr:from>
    <xdr:to>
      <xdr:col>6</xdr:col>
      <xdr:colOff>3025090</xdr:colOff>
      <xdr:row>53</xdr:row>
      <xdr:rowOff>15875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601" t="9056" r="13990" b="13876"/>
        <a:stretch/>
      </xdr:blipFill>
      <xdr:spPr>
        <a:xfrm>
          <a:off x="7429500" y="8801098"/>
          <a:ext cx="2882215" cy="42640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56029</xdr:colOff>
      <xdr:row>6</xdr:row>
      <xdr:rowOff>14007</xdr:rowOff>
    </xdr:from>
    <xdr:to>
      <xdr:col>6</xdr:col>
      <xdr:colOff>2269191</xdr:colOff>
      <xdr:row>22</xdr:row>
      <xdr:rowOff>314940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42" t="6895" r="14194" b="3791"/>
        <a:stretch/>
      </xdr:blipFill>
      <xdr:spPr>
        <a:xfrm>
          <a:off x="7998198" y="1190625"/>
          <a:ext cx="2213162" cy="3676705"/>
        </a:xfrm>
        <a:prstGeom prst="rect">
          <a:avLst/>
        </a:prstGeom>
      </xdr:spPr>
    </xdr:pic>
    <xdr:clientData/>
  </xdr:twoCellAnchor>
  <xdr:twoCellAnchor editAs="oneCell">
    <xdr:from>
      <xdr:col>6</xdr:col>
      <xdr:colOff>140074</xdr:colOff>
      <xdr:row>39</xdr:row>
      <xdr:rowOff>0</xdr:rowOff>
    </xdr:from>
    <xdr:to>
      <xdr:col>6</xdr:col>
      <xdr:colOff>2703419</xdr:colOff>
      <xdr:row>45</xdr:row>
      <xdr:rowOff>64494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855" t="10564" r="12163" b="15759"/>
        <a:stretch/>
      </xdr:blipFill>
      <xdr:spPr>
        <a:xfrm>
          <a:off x="8082243" y="8152279"/>
          <a:ext cx="2563345" cy="203953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269876</xdr:colOff>
      <xdr:row>6</xdr:row>
      <xdr:rowOff>111126</xdr:rowOff>
    </xdr:from>
    <xdr:to>
      <xdr:col>6</xdr:col>
      <xdr:colOff>2767543</xdr:colOff>
      <xdr:row>21</xdr:row>
      <xdr:rowOff>381001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D46BAF-1089-DC67-D7E2-8AB6EEB3D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311" t="7289" r="11250" b="2135"/>
        <a:stretch/>
      </xdr:blipFill>
      <xdr:spPr>
        <a:xfrm>
          <a:off x="8302626" y="2063751"/>
          <a:ext cx="2497667" cy="37465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37</xdr:row>
      <xdr:rowOff>79376</xdr:rowOff>
    </xdr:from>
    <xdr:to>
      <xdr:col>6</xdr:col>
      <xdr:colOff>2809875</xdr:colOff>
      <xdr:row>43</xdr:row>
      <xdr:rowOff>91156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ECA2E5-5190-02F6-900B-05E6A7897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817" t="11863" r="3098" b="11138"/>
        <a:stretch/>
      </xdr:blipFill>
      <xdr:spPr>
        <a:xfrm>
          <a:off x="7429500" y="9493251"/>
          <a:ext cx="3413125" cy="125003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394607</xdr:colOff>
      <xdr:row>8</xdr:row>
      <xdr:rowOff>8415</xdr:rowOff>
    </xdr:from>
    <xdr:to>
      <xdr:col>6</xdr:col>
      <xdr:colOff>2054678</xdr:colOff>
      <xdr:row>24</xdr:row>
      <xdr:rowOff>136070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1341A9-49E6-04D9-FE91-CFD39A75F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563" t="10874" r="16956" b="8661"/>
        <a:stretch/>
      </xdr:blipFill>
      <xdr:spPr>
        <a:xfrm>
          <a:off x="7225393" y="1940629"/>
          <a:ext cx="1660071" cy="3787977"/>
        </a:xfrm>
        <a:prstGeom prst="rect">
          <a:avLst/>
        </a:prstGeom>
      </xdr:spPr>
    </xdr:pic>
    <xdr:clientData/>
  </xdr:twoCellAnchor>
  <xdr:twoCellAnchor editAs="oneCell">
    <xdr:from>
      <xdr:col>6</xdr:col>
      <xdr:colOff>108858</xdr:colOff>
      <xdr:row>35</xdr:row>
      <xdr:rowOff>68036</xdr:rowOff>
    </xdr:from>
    <xdr:to>
      <xdr:col>6</xdr:col>
      <xdr:colOff>2054680</xdr:colOff>
      <xdr:row>52</xdr:row>
      <xdr:rowOff>68038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8E87C39-2E11-9252-49F9-459F1062F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895" t="9223" r="23452" b="6676"/>
        <a:stretch/>
      </xdr:blipFill>
      <xdr:spPr>
        <a:xfrm>
          <a:off x="6939644" y="8218715"/>
          <a:ext cx="1945822" cy="427264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136072</xdr:colOff>
      <xdr:row>6</xdr:row>
      <xdr:rowOff>81644</xdr:rowOff>
    </xdr:from>
    <xdr:to>
      <xdr:col>6</xdr:col>
      <xdr:colOff>2476500</xdr:colOff>
      <xdr:row>20</xdr:row>
      <xdr:rowOff>154146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495" t="10374" r="16505" b="13863"/>
        <a:stretch/>
      </xdr:blipFill>
      <xdr:spPr>
        <a:xfrm>
          <a:off x="7864929" y="2013858"/>
          <a:ext cx="2340428" cy="3365430"/>
        </a:xfrm>
        <a:prstGeom prst="rect">
          <a:avLst/>
        </a:prstGeom>
      </xdr:spPr>
    </xdr:pic>
    <xdr:clientData/>
  </xdr:twoCellAnchor>
  <xdr:twoCellAnchor editAs="oneCell">
    <xdr:from>
      <xdr:col>6</xdr:col>
      <xdr:colOff>322034</xdr:colOff>
      <xdr:row>33</xdr:row>
      <xdr:rowOff>117519</xdr:rowOff>
    </xdr:from>
    <xdr:to>
      <xdr:col>6</xdr:col>
      <xdr:colOff>2308677</xdr:colOff>
      <xdr:row>47</xdr:row>
      <xdr:rowOff>9073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444" t="2912" r="23196" b="11214"/>
        <a:stretch/>
      </xdr:blipFill>
      <xdr:spPr>
        <a:xfrm>
          <a:off x="8014605" y="7429090"/>
          <a:ext cx="1986643" cy="357455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666749</xdr:colOff>
      <xdr:row>5</xdr:row>
      <xdr:rowOff>190500</xdr:rowOff>
    </xdr:from>
    <xdr:to>
      <xdr:col>6</xdr:col>
      <xdr:colOff>3063875</xdr:colOff>
      <xdr:row>17</xdr:row>
      <xdr:rowOff>106632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3FAD44-7AA4-1913-FD93-A219253D9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02" t="8864" r="7893" b="7640"/>
        <a:stretch/>
      </xdr:blipFill>
      <xdr:spPr>
        <a:xfrm>
          <a:off x="9207499" y="1936750"/>
          <a:ext cx="3111501" cy="2583132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190501</xdr:colOff>
      <xdr:row>39</xdr:row>
      <xdr:rowOff>142875</xdr:rowOff>
    </xdr:from>
    <xdr:to>
      <xdr:col>6</xdr:col>
      <xdr:colOff>3016251</xdr:colOff>
      <xdr:row>49</xdr:row>
      <xdr:rowOff>7626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C3E8B1-2517-B0FA-1112-126C4569A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307" t="8114" r="7165" b="17177"/>
        <a:stretch/>
      </xdr:blipFill>
      <xdr:spPr>
        <a:xfrm>
          <a:off x="9445626" y="9890125"/>
          <a:ext cx="2825750" cy="191262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463379</xdr:colOff>
      <xdr:row>6</xdr:row>
      <xdr:rowOff>77229</xdr:rowOff>
    </xdr:from>
    <xdr:to>
      <xdr:col>6</xdr:col>
      <xdr:colOff>2188030</xdr:colOff>
      <xdr:row>22</xdr:row>
      <xdr:rowOff>476250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727" t="6385" r="10791"/>
        <a:stretch/>
      </xdr:blipFill>
      <xdr:spPr>
        <a:xfrm>
          <a:off x="7542771" y="1312905"/>
          <a:ext cx="1724651" cy="4131791"/>
        </a:xfrm>
        <a:prstGeom prst="rect">
          <a:avLst/>
        </a:prstGeom>
      </xdr:spPr>
    </xdr:pic>
    <xdr:clientData/>
  </xdr:twoCellAnchor>
  <xdr:twoCellAnchor editAs="oneCell">
    <xdr:from>
      <xdr:col>5</xdr:col>
      <xdr:colOff>450509</xdr:colOff>
      <xdr:row>32</xdr:row>
      <xdr:rowOff>90103</xdr:rowOff>
    </xdr:from>
    <xdr:to>
      <xdr:col>6</xdr:col>
      <xdr:colOff>2664428</xdr:colOff>
      <xdr:row>39</xdr:row>
      <xdr:rowOff>64661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831" t="9717" r="12346" b="17625"/>
        <a:stretch/>
      </xdr:blipFill>
      <xdr:spPr>
        <a:xfrm>
          <a:off x="6886320" y="8353684"/>
          <a:ext cx="2857500" cy="141618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268309</xdr:colOff>
      <xdr:row>34</xdr:row>
      <xdr:rowOff>53661</xdr:rowOff>
    </xdr:from>
    <xdr:to>
      <xdr:col>6</xdr:col>
      <xdr:colOff>3112394</xdr:colOff>
      <xdr:row>44</xdr:row>
      <xdr:rowOff>45808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509" t="4088" r="10815" b="8731"/>
        <a:stretch/>
      </xdr:blipFill>
      <xdr:spPr>
        <a:xfrm>
          <a:off x="7754154" y="8210281"/>
          <a:ext cx="2844085" cy="280940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748393</xdr:colOff>
      <xdr:row>33</xdr:row>
      <xdr:rowOff>81643</xdr:rowOff>
    </xdr:from>
    <xdr:to>
      <xdr:col>6</xdr:col>
      <xdr:colOff>2567075</xdr:colOff>
      <xdr:row>41</xdr:row>
      <xdr:rowOff>68036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030" t="8190" r="10198" b="11623"/>
        <a:stretch/>
      </xdr:blipFill>
      <xdr:spPr>
        <a:xfrm>
          <a:off x="7429500" y="8300357"/>
          <a:ext cx="2662325" cy="16192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326572</xdr:colOff>
      <xdr:row>6</xdr:row>
      <xdr:rowOff>40822</xdr:rowOff>
    </xdr:from>
    <xdr:to>
      <xdr:col>6</xdr:col>
      <xdr:colOff>1796612</xdr:colOff>
      <xdr:row>21</xdr:row>
      <xdr:rowOff>81643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744" t="5062" r="18724" b="8027"/>
        <a:stretch/>
      </xdr:blipFill>
      <xdr:spPr>
        <a:xfrm>
          <a:off x="8313965" y="1265465"/>
          <a:ext cx="1470040" cy="3279321"/>
        </a:xfrm>
        <a:prstGeom prst="rect">
          <a:avLst/>
        </a:prstGeom>
      </xdr:spPr>
    </xdr:pic>
    <xdr:clientData/>
  </xdr:twoCellAnchor>
  <xdr:twoCellAnchor editAs="oneCell">
    <xdr:from>
      <xdr:col>5</xdr:col>
      <xdr:colOff>340179</xdr:colOff>
      <xdr:row>35</xdr:row>
      <xdr:rowOff>68035</xdr:rowOff>
    </xdr:from>
    <xdr:to>
      <xdr:col>7</xdr:col>
      <xdr:colOff>0</xdr:colOff>
      <xdr:row>42</xdr:row>
      <xdr:rowOff>952500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065" t="11633" r="10848" b="14379"/>
        <a:stretch/>
      </xdr:blipFill>
      <xdr:spPr>
        <a:xfrm>
          <a:off x="7483929" y="8694964"/>
          <a:ext cx="2857500" cy="231321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756864</xdr:colOff>
      <xdr:row>6</xdr:row>
      <xdr:rowOff>136777</xdr:rowOff>
    </xdr:from>
    <xdr:to>
      <xdr:col>6</xdr:col>
      <xdr:colOff>3002013</xdr:colOff>
      <xdr:row>17</xdr:row>
      <xdr:rowOff>30240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7E8D41-7511-1A6D-25BD-852D0243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7102" y="2011539"/>
          <a:ext cx="3076697" cy="2252034"/>
        </a:xfrm>
        <a:prstGeom prst="rect">
          <a:avLst/>
        </a:prstGeom>
      </xdr:spPr>
    </xdr:pic>
    <xdr:clientData/>
  </xdr:twoCellAnchor>
  <xdr:twoCellAnchor editAs="oneCell">
    <xdr:from>
      <xdr:col>5</xdr:col>
      <xdr:colOff>324336</xdr:colOff>
      <xdr:row>38</xdr:row>
      <xdr:rowOff>177185</xdr:rowOff>
    </xdr:from>
    <xdr:to>
      <xdr:col>6</xdr:col>
      <xdr:colOff>3190118</xdr:colOff>
      <xdr:row>46</xdr:row>
      <xdr:rowOff>53557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6F3A01-BEE5-C262-7239-E53B3750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4574" y="9067185"/>
          <a:ext cx="3697330" cy="14487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539750</xdr:colOff>
      <xdr:row>5</xdr:row>
      <xdr:rowOff>142875</xdr:rowOff>
    </xdr:from>
    <xdr:to>
      <xdr:col>6</xdr:col>
      <xdr:colOff>2730500</xdr:colOff>
      <xdr:row>22</xdr:row>
      <xdr:rowOff>31750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304" t="13105" r="17241" b="12586"/>
        <a:stretch/>
      </xdr:blipFill>
      <xdr:spPr>
        <a:xfrm>
          <a:off x="7699375" y="2079625"/>
          <a:ext cx="2190750" cy="4048125"/>
        </a:xfrm>
        <a:prstGeom prst="rect">
          <a:avLst/>
        </a:prstGeom>
      </xdr:spPr>
    </xdr:pic>
    <xdr:clientData/>
  </xdr:twoCellAnchor>
  <xdr:twoCellAnchor editAs="oneCell">
    <xdr:from>
      <xdr:col>6</xdr:col>
      <xdr:colOff>153458</xdr:colOff>
      <xdr:row>39</xdr:row>
      <xdr:rowOff>132289</xdr:rowOff>
    </xdr:from>
    <xdr:to>
      <xdr:col>6</xdr:col>
      <xdr:colOff>3129665</xdr:colOff>
      <xdr:row>50</xdr:row>
      <xdr:rowOff>375707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A8EE42-AD71-C699-E804-813DCB88C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641" t="11789" r="18294" b="14808"/>
        <a:stretch/>
      </xdr:blipFill>
      <xdr:spPr>
        <a:xfrm>
          <a:off x="7318375" y="9360956"/>
          <a:ext cx="2976207" cy="24553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682625</xdr:colOff>
      <xdr:row>7</xdr:row>
      <xdr:rowOff>95249</xdr:rowOff>
    </xdr:from>
    <xdr:to>
      <xdr:col>6</xdr:col>
      <xdr:colOff>2889250</xdr:colOff>
      <xdr:row>19</xdr:row>
      <xdr:rowOff>123225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412D5-BB80-1048-4FE9-11BB52FD6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09" t="2785" r="7537"/>
        <a:stretch/>
      </xdr:blipFill>
      <xdr:spPr>
        <a:xfrm>
          <a:off x="8651875" y="2254249"/>
          <a:ext cx="3048000" cy="2710851"/>
        </a:xfrm>
        <a:prstGeom prst="rect">
          <a:avLst/>
        </a:prstGeom>
      </xdr:spPr>
    </xdr:pic>
    <xdr:clientData/>
  </xdr:twoCellAnchor>
  <xdr:twoCellAnchor editAs="oneCell">
    <xdr:from>
      <xdr:col>5</xdr:col>
      <xdr:colOff>476035</xdr:colOff>
      <xdr:row>38</xdr:row>
      <xdr:rowOff>33856</xdr:rowOff>
    </xdr:from>
    <xdr:to>
      <xdr:col>6</xdr:col>
      <xdr:colOff>2936876</xdr:colOff>
      <xdr:row>46</xdr:row>
      <xdr:rowOff>6844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A335FC-5653-F938-3897-F0FB2CCB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5285" y="9225481"/>
          <a:ext cx="3302216" cy="162398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669324</xdr:colOff>
      <xdr:row>6</xdr:row>
      <xdr:rowOff>90100</xdr:rowOff>
    </xdr:from>
    <xdr:to>
      <xdr:col>6</xdr:col>
      <xdr:colOff>2226790</xdr:colOff>
      <xdr:row>21</xdr:row>
      <xdr:rowOff>38614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41" t="6603" r="25270" b="8215"/>
        <a:stretch/>
      </xdr:blipFill>
      <xdr:spPr>
        <a:xfrm>
          <a:off x="8469527" y="2033715"/>
          <a:ext cx="1557466" cy="3320879"/>
        </a:xfrm>
        <a:prstGeom prst="rect">
          <a:avLst/>
        </a:prstGeom>
      </xdr:spPr>
    </xdr:pic>
    <xdr:clientData/>
  </xdr:twoCellAnchor>
  <xdr:twoCellAnchor editAs="oneCell">
    <xdr:from>
      <xdr:col>6</xdr:col>
      <xdr:colOff>274882</xdr:colOff>
      <xdr:row>35</xdr:row>
      <xdr:rowOff>47767</xdr:rowOff>
    </xdr:from>
    <xdr:to>
      <xdr:col>6</xdr:col>
      <xdr:colOff>2733362</xdr:colOff>
      <xdr:row>44</xdr:row>
      <xdr:rowOff>34895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142" t="3498" r="15353" b="11118"/>
        <a:stretch/>
      </xdr:blipFill>
      <xdr:spPr>
        <a:xfrm>
          <a:off x="8064215" y="7964100"/>
          <a:ext cx="2458480" cy="275996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127775</xdr:colOff>
      <xdr:row>6</xdr:row>
      <xdr:rowOff>174239</xdr:rowOff>
    </xdr:from>
    <xdr:to>
      <xdr:col>6</xdr:col>
      <xdr:colOff>2323171</xdr:colOff>
      <xdr:row>20</xdr:row>
      <xdr:rowOff>162623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51" t="9161" r="19510" b="10969"/>
        <a:stretch/>
      </xdr:blipFill>
      <xdr:spPr>
        <a:xfrm>
          <a:off x="7747775" y="2056007"/>
          <a:ext cx="2195396" cy="3008506"/>
        </a:xfrm>
        <a:prstGeom prst="rect">
          <a:avLst/>
        </a:prstGeom>
      </xdr:spPr>
    </xdr:pic>
    <xdr:clientData/>
  </xdr:twoCellAnchor>
  <xdr:twoCellAnchor editAs="oneCell">
    <xdr:from>
      <xdr:col>6</xdr:col>
      <xdr:colOff>127775</xdr:colOff>
      <xdr:row>39</xdr:row>
      <xdr:rowOff>58082</xdr:rowOff>
    </xdr:from>
    <xdr:to>
      <xdr:col>6</xdr:col>
      <xdr:colOff>2543872</xdr:colOff>
      <xdr:row>45</xdr:row>
      <xdr:rowOff>836909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05" t="16626" r="6829" b="11280"/>
        <a:stretch/>
      </xdr:blipFill>
      <xdr:spPr>
        <a:xfrm>
          <a:off x="7666464" y="8212411"/>
          <a:ext cx="2416097" cy="1963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591344</xdr:colOff>
      <xdr:row>6</xdr:row>
      <xdr:rowOff>15875</xdr:rowOff>
    </xdr:from>
    <xdr:to>
      <xdr:col>6</xdr:col>
      <xdr:colOff>2694510</xdr:colOff>
      <xdr:row>24</xdr:row>
      <xdr:rowOff>23813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6B9447-BA65-41D1-875D-51CE8B370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886" t="3957" r="15273" b="3614"/>
        <a:stretch/>
      </xdr:blipFill>
      <xdr:spPr>
        <a:xfrm>
          <a:off x="7735094" y="1230313"/>
          <a:ext cx="2103166" cy="4472781"/>
        </a:xfrm>
        <a:prstGeom prst="rect">
          <a:avLst/>
        </a:prstGeom>
      </xdr:spPr>
    </xdr:pic>
    <xdr:clientData/>
  </xdr:twoCellAnchor>
  <xdr:twoCellAnchor editAs="oneCell">
    <xdr:from>
      <xdr:col>5</xdr:col>
      <xdr:colOff>807744</xdr:colOff>
      <xdr:row>38</xdr:row>
      <xdr:rowOff>31749</xdr:rowOff>
    </xdr:from>
    <xdr:to>
      <xdr:col>6</xdr:col>
      <xdr:colOff>3238501</xdr:colOff>
      <xdr:row>48</xdr:row>
      <xdr:rowOff>39687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A04B12-FE98-0C66-8F9E-272637D68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666" t="19279" r="10984" b="15342"/>
        <a:stretch/>
      </xdr:blipFill>
      <xdr:spPr>
        <a:xfrm>
          <a:off x="7118057" y="8949530"/>
          <a:ext cx="3264194" cy="20320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174625</xdr:rowOff>
    </xdr:from>
    <xdr:to>
      <xdr:col>6</xdr:col>
      <xdr:colOff>3286125</xdr:colOff>
      <xdr:row>17</xdr:row>
      <xdr:rowOff>156515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1C405C-DEBC-7556-6F40-D7D6E3F36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5" t="11731" b="6776"/>
        <a:stretch/>
      </xdr:blipFill>
      <xdr:spPr>
        <a:xfrm>
          <a:off x="7159625" y="2127250"/>
          <a:ext cx="3286125" cy="2442515"/>
        </a:xfrm>
        <a:prstGeom prst="rect">
          <a:avLst/>
        </a:prstGeom>
      </xdr:spPr>
    </xdr:pic>
    <xdr:clientData/>
  </xdr:twoCellAnchor>
  <xdr:twoCellAnchor editAs="oneCell">
    <xdr:from>
      <xdr:col>5</xdr:col>
      <xdr:colOff>777875</xdr:colOff>
      <xdr:row>37</xdr:row>
      <xdr:rowOff>178405</xdr:rowOff>
    </xdr:from>
    <xdr:to>
      <xdr:col>6</xdr:col>
      <xdr:colOff>3175002</xdr:colOff>
      <xdr:row>49</xdr:row>
      <xdr:rowOff>315612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D22E63-54F7-1F96-425A-119980162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547" t="7018" r="5555" b="7277"/>
        <a:stretch/>
      </xdr:blipFill>
      <xdr:spPr>
        <a:xfrm>
          <a:off x="7096125" y="8909655"/>
          <a:ext cx="3238501" cy="2613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845344</xdr:colOff>
      <xdr:row>6</xdr:row>
      <xdr:rowOff>23812</xdr:rowOff>
    </xdr:from>
    <xdr:to>
      <xdr:col>6</xdr:col>
      <xdr:colOff>2702719</xdr:colOff>
      <xdr:row>21</xdr:row>
      <xdr:rowOff>357187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BD9469-F34B-035B-7C98-BB804CE21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062" t="8831" r="17950" b="6756"/>
        <a:stretch/>
      </xdr:blipFill>
      <xdr:spPr>
        <a:xfrm>
          <a:off x="7989094" y="1238250"/>
          <a:ext cx="1857375" cy="3798093"/>
        </a:xfrm>
        <a:prstGeom prst="rect">
          <a:avLst/>
        </a:prstGeom>
      </xdr:spPr>
    </xdr:pic>
    <xdr:clientData/>
  </xdr:twoCellAnchor>
  <xdr:twoCellAnchor editAs="oneCell">
    <xdr:from>
      <xdr:col>5</xdr:col>
      <xdr:colOff>720442</xdr:colOff>
      <xdr:row>40</xdr:row>
      <xdr:rowOff>33435</xdr:rowOff>
    </xdr:from>
    <xdr:to>
      <xdr:col>6</xdr:col>
      <xdr:colOff>3128408</xdr:colOff>
      <xdr:row>49</xdr:row>
      <xdr:rowOff>352783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1EB741-AD81-5245-E2C1-5DB0A5639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138" t="15031" r="12815" b="16045"/>
        <a:stretch/>
      </xdr:blipFill>
      <xdr:spPr>
        <a:xfrm>
          <a:off x="7022600" y="9062613"/>
          <a:ext cx="3243034" cy="208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814234</xdr:colOff>
      <xdr:row>6</xdr:row>
      <xdr:rowOff>122903</xdr:rowOff>
    </xdr:from>
    <xdr:to>
      <xdr:col>6</xdr:col>
      <xdr:colOff>2461231</xdr:colOff>
      <xdr:row>22</xdr:row>
      <xdr:rowOff>579224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297" t="5771" r="14293" b="3562"/>
        <a:stretch/>
      </xdr:blipFill>
      <xdr:spPr>
        <a:xfrm>
          <a:off x="7970856" y="1358579"/>
          <a:ext cx="1646997" cy="4214834"/>
        </a:xfrm>
        <a:prstGeom prst="rect">
          <a:avLst/>
        </a:prstGeom>
      </xdr:spPr>
    </xdr:pic>
    <xdr:clientData/>
  </xdr:twoCellAnchor>
  <xdr:twoCellAnchor editAs="oneCell">
    <xdr:from>
      <xdr:col>6</xdr:col>
      <xdr:colOff>585159</xdr:colOff>
      <xdr:row>32</xdr:row>
      <xdr:rowOff>86106</xdr:rowOff>
    </xdr:from>
    <xdr:to>
      <xdr:col>6</xdr:col>
      <xdr:colOff>2691290</xdr:colOff>
      <xdr:row>47</xdr:row>
      <xdr:rowOff>25744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347" t="6480" r="11456" b="8357"/>
        <a:stretch/>
      </xdr:blipFill>
      <xdr:spPr>
        <a:xfrm>
          <a:off x="7741781" y="7770464"/>
          <a:ext cx="2106131" cy="3826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432955</xdr:colOff>
      <xdr:row>6</xdr:row>
      <xdr:rowOff>27215</xdr:rowOff>
    </xdr:from>
    <xdr:to>
      <xdr:col>6</xdr:col>
      <xdr:colOff>2774717</xdr:colOff>
      <xdr:row>23</xdr:row>
      <xdr:rowOff>128141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3B5E31-E0E6-3509-1484-1E730B97B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435" t="5955" r="10240" b="7560"/>
        <a:stretch/>
      </xdr:blipFill>
      <xdr:spPr>
        <a:xfrm>
          <a:off x="7585364" y="1984170"/>
          <a:ext cx="2341762" cy="4257290"/>
        </a:xfrm>
        <a:prstGeom prst="rect">
          <a:avLst/>
        </a:prstGeom>
      </xdr:spPr>
    </xdr:pic>
    <xdr:clientData/>
  </xdr:twoCellAnchor>
  <xdr:twoCellAnchor editAs="oneCell">
    <xdr:from>
      <xdr:col>6</xdr:col>
      <xdr:colOff>27299</xdr:colOff>
      <xdr:row>39</xdr:row>
      <xdr:rowOff>173181</xdr:rowOff>
    </xdr:from>
    <xdr:to>
      <xdr:col>6</xdr:col>
      <xdr:colOff>3290454</xdr:colOff>
      <xdr:row>49</xdr:row>
      <xdr:rowOff>762000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DFCEB7-F6BE-7433-CB3B-6478A18617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198" t="8080" r="14513" b="15500"/>
        <a:stretch/>
      </xdr:blipFill>
      <xdr:spPr>
        <a:xfrm>
          <a:off x="7179708" y="9923317"/>
          <a:ext cx="3263155" cy="26670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726281</xdr:colOff>
      <xdr:row>6</xdr:row>
      <xdr:rowOff>32782</xdr:rowOff>
    </xdr:from>
    <xdr:to>
      <xdr:col>6</xdr:col>
      <xdr:colOff>2547937</xdr:colOff>
      <xdr:row>21</xdr:row>
      <xdr:rowOff>428624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8E4383-95B6-8EC0-C65C-B3B1104DC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515" t="2718" r="23596" b="-604"/>
        <a:stretch/>
      </xdr:blipFill>
      <xdr:spPr>
        <a:xfrm>
          <a:off x="7870031" y="1747282"/>
          <a:ext cx="1821656" cy="3860561"/>
        </a:xfrm>
        <a:prstGeom prst="rect">
          <a:avLst/>
        </a:prstGeom>
      </xdr:spPr>
    </xdr:pic>
    <xdr:clientData/>
  </xdr:twoCellAnchor>
  <xdr:twoCellAnchor editAs="oneCell">
    <xdr:from>
      <xdr:col>6</xdr:col>
      <xdr:colOff>40822</xdr:colOff>
      <xdr:row>49</xdr:row>
      <xdr:rowOff>261947</xdr:rowOff>
    </xdr:from>
    <xdr:to>
      <xdr:col>6</xdr:col>
      <xdr:colOff>3245997</xdr:colOff>
      <xdr:row>55</xdr:row>
      <xdr:rowOff>167825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ADBB79-2FD6-81F4-5515-D9F16F2786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717" t="20359" b="10069"/>
        <a:stretch/>
      </xdr:blipFill>
      <xdr:spPr>
        <a:xfrm>
          <a:off x="7225393" y="11392590"/>
          <a:ext cx="3205175" cy="193334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653D80-82D8-4144-BE39-65474BA03576}" name="Tabla2" displayName="Tabla2" ref="A8:AH47" totalsRowShown="0" headerRowDxfId="41">
  <autoFilter ref="A8:AH47" xr:uid="{14653D80-82D8-4144-BE39-65474BA035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</autoFilter>
  <tableColumns count="34">
    <tableColumn id="1" xr3:uid="{4A3C2A0F-9369-8846-8163-9A1E607B1F80}" name="Columna 1"/>
    <tableColumn id="2" xr3:uid="{D51E8C4F-92BE-C541-A983-884C99623651}" name="Columna 2" dataDxfId="40"/>
    <tableColumn id="22" xr3:uid="{329BC9AD-A18D-4BCC-8AEC-B8829DA56A46}" name="Columna 3" dataDxfId="39"/>
    <tableColumn id="3" xr3:uid="{10084C92-A86C-A342-A712-0D58A1A85E19}" name="Columna 4" dataDxfId="38"/>
    <tableColumn id="4" xr3:uid="{0084EBB9-229A-2545-80EE-3AC9AA5E57CB}" name="Columna 5" dataDxfId="37"/>
    <tableColumn id="5" xr3:uid="{F9408519-78FC-1942-872E-BAF494B6053A}" name="Columna 6"/>
    <tableColumn id="6" xr3:uid="{EDE32FD8-381E-9748-9E2C-D9803A392110}" name="Columna 7" dataDxfId="36" dataCellStyle="Moneda"/>
    <tableColumn id="23" xr3:uid="{56D67CE6-4BA8-41B8-89DA-6B8006038E6F}" name="Columna 8" dataDxfId="35" dataCellStyle="Moneda"/>
    <tableColumn id="24" xr3:uid="{EC593590-153D-4A12-ACF2-CF4A9762B163}" name="Columna 9" dataDxfId="34" dataCellStyle="Moneda"/>
    <tableColumn id="25" xr3:uid="{31E73198-6BF9-44A6-9E70-096061D607A4}" name="Columna 10" dataDxfId="33" dataCellStyle="Moneda"/>
    <tableColumn id="26" xr3:uid="{2EC91585-6EF8-4C46-9161-2AE8A8300410}" name="Columna 11" dataDxfId="32" dataCellStyle="Moneda"/>
    <tableColumn id="27" xr3:uid="{F7FEBCE6-1536-4FC1-BF9F-E2894A5727B6}" name="Columna 12" dataDxfId="31" dataCellStyle="Moneda"/>
    <tableColumn id="28" xr3:uid="{344FCBDA-B25B-4CDA-BEFE-56D06BB2B0D7}" name="Columna 13" dataDxfId="30" dataCellStyle="Moneda"/>
    <tableColumn id="7" xr3:uid="{22587B4B-C6C5-984F-BEAC-BC085A40746C}" name="Columna 14" dataDxfId="29"/>
    <tableColumn id="8" xr3:uid="{7D3CACAC-5093-1E4F-8147-807C8BCE89BA}" name="Columna 15" dataDxfId="28"/>
    <tableColumn id="9" xr3:uid="{8EFCCD8F-6684-0443-ADAA-24D7436CBE90}" name="Columna 16" dataDxfId="27"/>
    <tableColumn id="10" xr3:uid="{3E7D52B6-D73E-F342-8705-A2D645E4772F}" name="Columna 17" dataDxfId="26"/>
    <tableColumn id="11" xr3:uid="{5F8C6F35-40C4-2D4E-BCA0-F8AAC27F20E4}" name="Columna 18" dataDxfId="25"/>
    <tableColumn id="31" xr3:uid="{C8DE3BEA-EDE6-41E3-84C6-53559841860F}" name="Columna 19" dataDxfId="24"/>
    <tableColumn id="30" xr3:uid="{5BAFBEE7-1E8E-4AB4-B73D-E8721B5C4F56}" name="Columna 20" dataDxfId="23"/>
    <tableColumn id="12" xr3:uid="{C62132C9-880F-3043-913E-5443D0E1DCDE}" name="Columna 21" dataDxfId="22"/>
    <tableColumn id="13" xr3:uid="{F79A164F-4B40-F241-816C-FB8B2322337F}" name="Columna 22" dataDxfId="21"/>
    <tableColumn id="14" xr3:uid="{48110496-2CD2-6940-A501-F91DA155F482}" name="Columna 23" dataDxfId="20"/>
    <tableColumn id="15" xr3:uid="{2F7DCBBA-ED72-C243-806B-F89B93059338}" name="Columna 24" dataDxfId="19"/>
    <tableColumn id="35" xr3:uid="{6ACFEDA8-8056-4511-9359-6AD6117435A5}" name="Columna 25" dataDxfId="18"/>
    <tableColumn id="16" xr3:uid="{3090C19A-A5D9-BC42-91D8-D3931E91480E}" name="Columna 26" dataDxfId="17"/>
    <tableColumn id="29" xr3:uid="{A7266D4C-118B-4B9B-A6FC-1BE8E4E9A4E6}" name="Columna 27" dataDxfId="16"/>
    <tableColumn id="17" xr3:uid="{8F3D7D3F-5B21-6C47-A46F-ACD13B3C6E40}" name="Columna 28" dataDxfId="15"/>
    <tableColumn id="18" xr3:uid="{2AA6FB16-3EDF-7243-9AC8-35AED08094F5}" name="Columna 29" dataDxfId="14"/>
    <tableColumn id="19" xr3:uid="{01F31202-0179-3C4B-A86D-323EEA0D8BFA}" name="Columna 30" dataDxfId="13"/>
    <tableColumn id="20" xr3:uid="{AB6665CC-7CDA-0F4F-8C23-F4DB6AAE3ABE}" name="Columna 31" dataDxfId="12"/>
    <tableColumn id="21" xr3:uid="{68542672-E274-3245-A177-179B25991DEC}" name="Columna 32" dataDxfId="11"/>
    <tableColumn id="32" xr3:uid="{6DE9E6CE-3C39-43B5-969B-256D6D5A80F7}" name="Columna 33" dataDxfId="10"/>
    <tableColumn id="33" xr3:uid="{551D2BE7-91DF-493C-B4F3-7C91E4985FDF}" name="Columna 34" dataDxfId="9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9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F19C5-ED1E-8D4C-A644-0A435102C072}">
  <sheetPr>
    <tabColor theme="7" tint="0.59999389629810485"/>
    <pageSetUpPr fitToPage="1"/>
  </sheetPr>
  <dimension ref="A8:AH52"/>
  <sheetViews>
    <sheetView tabSelected="1" zoomScale="63" zoomScaleNormal="58" workbookViewId="0">
      <pane xSplit="1" topLeftCell="B1" activePane="topRight" state="frozen"/>
      <selection activeCell="Z45" sqref="Z45"/>
      <selection pane="topRight" activeCell="G68" sqref="G68"/>
    </sheetView>
  </sheetViews>
  <sheetFormatPr baseColWidth="10" defaultRowHeight="16" x14ac:dyDescent="0.2"/>
  <cols>
    <col min="1" max="1" width="46.6640625" customWidth="1"/>
    <col min="2" max="2" width="12.1640625" customWidth="1"/>
    <col min="3" max="3" width="19.1640625" customWidth="1"/>
    <col min="4" max="34" width="18.83203125" customWidth="1"/>
  </cols>
  <sheetData>
    <row r="8" spans="1:34" s="35" customFormat="1" x14ac:dyDescent="0.2">
      <c r="A8" s="35" t="s">
        <v>277</v>
      </c>
      <c r="B8" s="35" t="s">
        <v>278</v>
      </c>
      <c r="C8" s="35" t="s">
        <v>279</v>
      </c>
      <c r="D8" s="35" t="s">
        <v>280</v>
      </c>
      <c r="E8" s="35" t="s">
        <v>281</v>
      </c>
      <c r="F8" s="35" t="s">
        <v>282</v>
      </c>
      <c r="G8" s="35" t="s">
        <v>283</v>
      </c>
      <c r="H8" s="35" t="s">
        <v>284</v>
      </c>
      <c r="I8" s="35" t="s">
        <v>285</v>
      </c>
      <c r="J8" s="35" t="s">
        <v>286</v>
      </c>
      <c r="K8" s="35" t="s">
        <v>287</v>
      </c>
      <c r="L8" s="35" t="s">
        <v>288</v>
      </c>
      <c r="M8" s="35" t="s">
        <v>289</v>
      </c>
      <c r="N8" s="35" t="s">
        <v>290</v>
      </c>
      <c r="O8" s="35" t="s">
        <v>291</v>
      </c>
      <c r="P8" s="35" t="s">
        <v>292</v>
      </c>
      <c r="Q8" s="35" t="s">
        <v>293</v>
      </c>
      <c r="R8" s="35" t="s">
        <v>294</v>
      </c>
      <c r="S8" s="35" t="s">
        <v>295</v>
      </c>
      <c r="T8" s="35" t="s">
        <v>296</v>
      </c>
      <c r="U8" s="35" t="s">
        <v>297</v>
      </c>
      <c r="V8" s="35" t="s">
        <v>298</v>
      </c>
      <c r="W8" s="35" t="s">
        <v>299</v>
      </c>
      <c r="X8" s="35" t="s">
        <v>300</v>
      </c>
      <c r="Y8" s="35" t="s">
        <v>301</v>
      </c>
      <c r="Z8" s="35" t="s">
        <v>302</v>
      </c>
      <c r="AA8" s="35" t="s">
        <v>303</v>
      </c>
      <c r="AB8" s="35" t="s">
        <v>304</v>
      </c>
      <c r="AC8" s="35" t="s">
        <v>305</v>
      </c>
      <c r="AD8" s="35" t="s">
        <v>306</v>
      </c>
      <c r="AE8" s="35" t="s">
        <v>307</v>
      </c>
      <c r="AF8" s="35" t="s">
        <v>308</v>
      </c>
      <c r="AG8" s="35" t="s">
        <v>309</v>
      </c>
      <c r="AH8" s="35" t="s">
        <v>310</v>
      </c>
    </row>
    <row r="9" spans="1:34" x14ac:dyDescent="0.2">
      <c r="C9" s="42" t="str">
        <f>'A 01'!B1</f>
        <v>A 01</v>
      </c>
      <c r="D9" s="42" t="str">
        <f>'A 02'!B1</f>
        <v>A 02</v>
      </c>
      <c r="E9" s="42" t="str">
        <f>'A 03'!B1</f>
        <v>A 03</v>
      </c>
      <c r="F9" s="42" t="str">
        <f>'A 04'!B1</f>
        <v>A 04</v>
      </c>
      <c r="G9" s="42" t="str">
        <f>'A 05'!B1</f>
        <v>A 05</v>
      </c>
      <c r="H9" s="42" t="str">
        <f>'A 06'!B1</f>
        <v>A 06</v>
      </c>
      <c r="I9" s="42" t="str">
        <f>'A 07'!B1</f>
        <v>A 07</v>
      </c>
      <c r="J9" s="42" t="str">
        <f>'A 08'!B1</f>
        <v>A 08</v>
      </c>
      <c r="K9" s="42" t="str">
        <f>'A 09'!B1</f>
        <v>A 09</v>
      </c>
      <c r="L9" s="42" t="str">
        <f>'A 10'!B1</f>
        <v>A10</v>
      </c>
      <c r="M9" s="42" t="str">
        <f>'A 11'!B1</f>
        <v>A 11</v>
      </c>
      <c r="N9" s="42" t="str">
        <f>'A 12'!B1</f>
        <v>A 12</v>
      </c>
      <c r="O9" s="42" t="str">
        <f>'B 01'!B1</f>
        <v>B 01</v>
      </c>
      <c r="P9" s="42" t="str">
        <f>'B 02'!B1</f>
        <v>B 02</v>
      </c>
      <c r="Q9" s="42" t="str">
        <f>'B 03'!B1</f>
        <v>B 03</v>
      </c>
      <c r="R9" s="42" t="str">
        <f>'B 04'!B1</f>
        <v>B 04</v>
      </c>
      <c r="S9" s="42" t="str">
        <f>'B 05'!B1</f>
        <v>B 05</v>
      </c>
      <c r="T9" s="42" t="str">
        <f>'B 06'!B1</f>
        <v>B 06</v>
      </c>
      <c r="U9" s="42" t="str">
        <f>'C 01'!B1</f>
        <v>C 01</v>
      </c>
      <c r="V9" s="42" t="str">
        <f>'C 02'!B1</f>
        <v>C 02</v>
      </c>
      <c r="W9" s="42" t="str">
        <f>'C 03'!B1</f>
        <v>C 03</v>
      </c>
      <c r="X9" s="42" t="str">
        <f>'D 01'!B1</f>
        <v>D 01</v>
      </c>
      <c r="Y9" s="42" t="str">
        <f>'D 02'!B1</f>
        <v>D 02</v>
      </c>
      <c r="Z9" s="42" t="str">
        <f>'D 03'!B1</f>
        <v>D 03</v>
      </c>
      <c r="AA9" s="42" t="str">
        <f>'D 04'!B1</f>
        <v>D 04</v>
      </c>
      <c r="AB9" s="42" t="str">
        <f>'E 01'!B1</f>
        <v>E 01</v>
      </c>
      <c r="AC9" s="42" t="str">
        <f>'E 02'!B1</f>
        <v>E 02</v>
      </c>
      <c r="AD9" s="42" t="str">
        <f>'E 03'!B1</f>
        <v>E 03</v>
      </c>
      <c r="AE9" s="42" t="str">
        <f>'F 01'!B1</f>
        <v>F 01</v>
      </c>
      <c r="AF9" s="42" t="str">
        <f>'F 02'!B1</f>
        <v>F 02</v>
      </c>
      <c r="AG9" s="122" t="str">
        <f>'F 03'!B1</f>
        <v>F 03</v>
      </c>
      <c r="AH9" s="122" t="str">
        <f>'F 04'!B1</f>
        <v>F 04</v>
      </c>
    </row>
    <row r="10" spans="1:34" x14ac:dyDescent="0.2">
      <c r="AG10" s="84"/>
      <c r="AH10" s="84"/>
    </row>
    <row r="11" spans="1:34" x14ac:dyDescent="0.2">
      <c r="A11" s="50" t="s">
        <v>111</v>
      </c>
      <c r="B11" s="50" t="s">
        <v>0</v>
      </c>
      <c r="C11" s="50">
        <f>'A 01'!E7</f>
        <v>103.36</v>
      </c>
      <c r="D11" s="50">
        <f>'A 02'!E5</f>
        <v>552</v>
      </c>
      <c r="E11" s="50">
        <f>'A 03'!E5</f>
        <v>141.69999999999999</v>
      </c>
      <c r="F11" s="50">
        <f>'A 04'!E5</f>
        <v>319.5</v>
      </c>
      <c r="G11" s="95">
        <f>'A 05'!E5</f>
        <v>188.69</v>
      </c>
      <c r="H11" s="95">
        <f>'A 06'!E5</f>
        <v>147</v>
      </c>
      <c r="I11" s="95">
        <f>'A 07'!E5</f>
        <v>261</v>
      </c>
      <c r="J11" s="95">
        <f>'A 08'!E5</f>
        <v>377</v>
      </c>
      <c r="K11" s="95">
        <f>'A 09'!E5</f>
        <v>262</v>
      </c>
      <c r="L11" s="95">
        <f>'A 10'!E5</f>
        <v>297</v>
      </c>
      <c r="M11" s="95">
        <f>'A 11'!E5</f>
        <v>148</v>
      </c>
      <c r="N11" s="50">
        <f>'A 12'!E5</f>
        <v>407</v>
      </c>
      <c r="O11" s="50">
        <f>'B 01'!E5</f>
        <v>162</v>
      </c>
      <c r="P11" s="50">
        <f>'B 02'!E5</f>
        <v>900</v>
      </c>
      <c r="Q11" s="50">
        <f>'B 03'!E5</f>
        <v>924.64</v>
      </c>
      <c r="R11" s="50">
        <f>'B 04'!E5</f>
        <v>394</v>
      </c>
      <c r="S11" s="50">
        <f>'B 05'!E5</f>
        <v>395</v>
      </c>
      <c r="T11" s="50">
        <f>'B 06'!E5</f>
        <v>748.62</v>
      </c>
      <c r="U11" s="50">
        <f>'C 01'!E5</f>
        <v>1146.1600000000001</v>
      </c>
      <c r="V11" s="50">
        <f>'C 02'!E5</f>
        <v>1261.75</v>
      </c>
      <c r="W11" s="50">
        <f>'C 03'!E5</f>
        <v>1158.68</v>
      </c>
      <c r="X11" s="50">
        <f>'D 01'!E7</f>
        <v>124</v>
      </c>
      <c r="Y11" s="50">
        <f>'D 02'!E5</f>
        <v>112.49</v>
      </c>
      <c r="Z11" s="50">
        <f>'D 03'!E5</f>
        <v>593.75</v>
      </c>
      <c r="AA11" s="50">
        <f>'D 04'!E5</f>
        <v>1890.98</v>
      </c>
      <c r="AB11" s="50">
        <f>'E 01'!E5</f>
        <v>113.92</v>
      </c>
      <c r="AC11" s="50">
        <f>'E 02'!E5</f>
        <v>275</v>
      </c>
      <c r="AD11" s="50">
        <f>'E 03'!E5</f>
        <v>250</v>
      </c>
      <c r="AE11" s="50">
        <f>'F 01'!E5</f>
        <v>1700</v>
      </c>
      <c r="AF11" s="50">
        <f>'F 02'!E5</f>
        <v>1695</v>
      </c>
      <c r="AG11" s="50">
        <f>'F 03'!E5</f>
        <v>123</v>
      </c>
      <c r="AH11" s="50">
        <f>'F 04'!E5</f>
        <v>124</v>
      </c>
    </row>
    <row r="12" spans="1:34" x14ac:dyDescent="0.2">
      <c r="A12" t="s">
        <v>30</v>
      </c>
      <c r="C12">
        <f>'A 01'!E8</f>
        <v>0.8</v>
      </c>
      <c r="D12">
        <f>'A 02'!E6</f>
        <v>0.7</v>
      </c>
      <c r="E12">
        <f>'A 03'!E6</f>
        <v>0.8</v>
      </c>
      <c r="F12">
        <f>'A 04'!E6</f>
        <v>0.8</v>
      </c>
      <c r="G12" s="2">
        <f>'A 05'!E6</f>
        <v>0.8</v>
      </c>
      <c r="H12" s="2">
        <f>'A 06'!E6</f>
        <v>0.8</v>
      </c>
      <c r="I12" s="2">
        <f>'A 07'!E6</f>
        <v>0.8</v>
      </c>
      <c r="J12" s="2">
        <f>'A 08'!E6</f>
        <v>0.8</v>
      </c>
      <c r="K12" s="2">
        <f>'A 09'!E6</f>
        <v>0.8</v>
      </c>
      <c r="L12" s="2">
        <f>'A 10'!E6</f>
        <v>0.8</v>
      </c>
      <c r="M12" s="2">
        <f>'A 11'!E5</f>
        <v>148</v>
      </c>
      <c r="N12">
        <f>'A 12'!E6</f>
        <v>0.8</v>
      </c>
      <c r="O12">
        <f>'B 01'!E6</f>
        <v>0.8</v>
      </c>
      <c r="P12">
        <f>'B 02'!E6</f>
        <v>0.8</v>
      </c>
      <c r="Q12">
        <f>'B 03'!E6</f>
        <v>0.8</v>
      </c>
      <c r="R12">
        <f>'B 04'!E6</f>
        <v>0.8</v>
      </c>
      <c r="S12">
        <f>'B 05'!E6</f>
        <v>0.8</v>
      </c>
      <c r="T12">
        <f>'B 06'!E6</f>
        <v>0.8</v>
      </c>
      <c r="U12">
        <f>'C 01'!E6</f>
        <v>0.8</v>
      </c>
      <c r="V12">
        <f>'C 02'!E6</f>
        <v>0.8</v>
      </c>
      <c r="W12">
        <f>'C 03'!E6</f>
        <v>0.8</v>
      </c>
      <c r="X12">
        <f>'D 01'!E8</f>
        <v>0.8</v>
      </c>
      <c r="Y12">
        <f>'D 02'!E6</f>
        <v>0.8</v>
      </c>
      <c r="Z12">
        <f>'D 03'!E6</f>
        <v>0.8</v>
      </c>
      <c r="AA12">
        <f>'D 04'!E6</f>
        <v>0.8</v>
      </c>
      <c r="AB12">
        <f>'E 01'!E6</f>
        <v>0.8</v>
      </c>
      <c r="AC12">
        <f>'E 02'!E6</f>
        <v>0.8</v>
      </c>
      <c r="AD12">
        <f>'E 03'!E6</f>
        <v>0.8</v>
      </c>
      <c r="AE12">
        <f>'F 01'!E6</f>
        <v>0.8</v>
      </c>
      <c r="AF12">
        <f>'F 02'!E6</f>
        <v>0.8</v>
      </c>
      <c r="AG12">
        <f>'F 03'!E6</f>
        <v>0.8</v>
      </c>
      <c r="AH12">
        <f>'F 04'!E6</f>
        <v>0.8</v>
      </c>
    </row>
    <row r="13" spans="1:34" x14ac:dyDescent="0.2">
      <c r="A13" t="s">
        <v>31</v>
      </c>
      <c r="C13">
        <f>'A 01'!E9</f>
        <v>3</v>
      </c>
      <c r="D13">
        <f>'A 02'!E7</f>
        <v>6.3</v>
      </c>
      <c r="E13">
        <f>'A 03'!E7</f>
        <v>3</v>
      </c>
      <c r="F13">
        <f>'A 04'!E7</f>
        <v>2.4</v>
      </c>
      <c r="G13" s="2">
        <f>'A 05'!E7</f>
        <v>3.6</v>
      </c>
      <c r="H13" s="2">
        <f>'A 06'!E7</f>
        <v>3</v>
      </c>
      <c r="I13" s="2">
        <f>'A 07'!E7</f>
        <v>4.8</v>
      </c>
      <c r="J13" s="2">
        <f>'A 08'!E7</f>
        <v>4.8</v>
      </c>
      <c r="K13" s="2">
        <f>'A 09'!E7</f>
        <v>3</v>
      </c>
      <c r="L13" s="2">
        <f>'A 10'!E7</f>
        <v>3</v>
      </c>
      <c r="M13" s="2">
        <f>'A 11'!E6</f>
        <v>0.8</v>
      </c>
      <c r="N13">
        <f>'A 12'!E7</f>
        <v>2.4</v>
      </c>
      <c r="O13">
        <f>'B 01'!E7</f>
        <v>4.8</v>
      </c>
      <c r="P13">
        <f>'B 02'!E7</f>
        <v>2.4</v>
      </c>
      <c r="Q13">
        <f>'B 03'!E7</f>
        <v>2.4</v>
      </c>
      <c r="R13">
        <f>'B 04'!E7</f>
        <v>4.8</v>
      </c>
      <c r="S13">
        <f>'B 05'!E7</f>
        <v>4.8</v>
      </c>
      <c r="T13">
        <f>'B 06'!E7</f>
        <v>3.2</v>
      </c>
      <c r="U13">
        <f>'C 01'!E7</f>
        <v>4.8</v>
      </c>
      <c r="V13">
        <f>'C 02'!E7</f>
        <v>4.8</v>
      </c>
      <c r="W13">
        <f>'C 03'!E7</f>
        <v>3</v>
      </c>
      <c r="X13">
        <f>'D 01'!E9</f>
        <v>4.8</v>
      </c>
      <c r="Y13">
        <f>'D 02'!E7</f>
        <v>4.8</v>
      </c>
      <c r="Z13">
        <f>'D 03'!E7</f>
        <v>3.6</v>
      </c>
      <c r="AA13">
        <f>'D 04'!E7</f>
        <v>3.2</v>
      </c>
      <c r="AB13">
        <f>'E 01'!E7</f>
        <v>2</v>
      </c>
      <c r="AC13">
        <f>'E 02'!E7</f>
        <v>2.4</v>
      </c>
      <c r="AD13">
        <f>'E 03'!E7</f>
        <v>2.4</v>
      </c>
      <c r="AE13">
        <f>'F 01'!E7</f>
        <v>3</v>
      </c>
      <c r="AF13">
        <f>'F 02'!E7</f>
        <v>3</v>
      </c>
      <c r="AG13">
        <f>'F 03'!E7</f>
        <v>2</v>
      </c>
      <c r="AH13">
        <f>'F 04'!E7</f>
        <v>2</v>
      </c>
    </row>
    <row r="14" spans="1:34" x14ac:dyDescent="0.2">
      <c r="A14" t="s">
        <v>93</v>
      </c>
      <c r="C14">
        <f>'A 01'!E10</f>
        <v>1</v>
      </c>
      <c r="D14">
        <f>'A 02'!E8</f>
        <v>2.1</v>
      </c>
      <c r="E14">
        <f>'A 03'!E8</f>
        <v>1</v>
      </c>
      <c r="F14">
        <f>'A 04'!E8</f>
        <v>2.4</v>
      </c>
      <c r="G14" s="2">
        <f>'A 05'!E8</f>
        <v>1.2</v>
      </c>
      <c r="H14" s="2">
        <f>'A 06'!E8</f>
        <v>1</v>
      </c>
      <c r="I14" s="2">
        <f>'A 07'!E8</f>
        <v>1.6</v>
      </c>
      <c r="J14" s="2">
        <f>'A 08'!E8</f>
        <v>1.6</v>
      </c>
      <c r="K14" s="2">
        <f>'A 09'!E8</f>
        <v>1</v>
      </c>
      <c r="L14" s="2">
        <f>'A 10'!E8</f>
        <v>1</v>
      </c>
      <c r="M14" s="2">
        <f>'A 11'!E7</f>
        <v>3</v>
      </c>
      <c r="N14">
        <f>'A 12'!E8</f>
        <v>2.4</v>
      </c>
      <c r="O14">
        <f>'B 01'!E8</f>
        <v>1.6</v>
      </c>
      <c r="P14">
        <f>'B 02'!E8</f>
        <v>2.4</v>
      </c>
      <c r="Q14">
        <f>'B 03'!E8</f>
        <v>2.4</v>
      </c>
      <c r="R14">
        <f>'B 04'!E8</f>
        <v>3.2</v>
      </c>
      <c r="S14">
        <f>'B 05'!E8</f>
        <v>3.2</v>
      </c>
      <c r="T14">
        <f>'B 06'!E8</f>
        <v>1.6</v>
      </c>
      <c r="U14">
        <f>'C 01'!E8</f>
        <v>1.6</v>
      </c>
      <c r="V14">
        <f>'C 02'!E8</f>
        <v>1.6</v>
      </c>
      <c r="W14">
        <f>'C 03'!E8</f>
        <v>1</v>
      </c>
      <c r="X14">
        <f>'D 01'!E10</f>
        <v>1.6</v>
      </c>
      <c r="Y14">
        <f>'D 02'!E8</f>
        <v>1.6</v>
      </c>
      <c r="Z14">
        <f>'D 03'!E8</f>
        <v>1.2</v>
      </c>
      <c r="AA14">
        <f>'D 04'!E8</f>
        <v>0.8</v>
      </c>
      <c r="AB14">
        <f>'E 01'!E8</f>
        <v>0</v>
      </c>
      <c r="AC14">
        <f>'E 02'!E8</f>
        <v>0</v>
      </c>
      <c r="AD14">
        <f>'E 03'!E8</f>
        <v>0.8</v>
      </c>
      <c r="AE14">
        <f>'F 01'!E8</f>
        <v>1</v>
      </c>
      <c r="AF14">
        <f>'F 02'!E8</f>
        <v>1</v>
      </c>
      <c r="AG14">
        <f>'F 03'!E8</f>
        <v>0</v>
      </c>
      <c r="AH14">
        <f>'F 04'!E8</f>
        <v>0</v>
      </c>
    </row>
    <row r="15" spans="1:34" x14ac:dyDescent="0.2">
      <c r="A15" t="s">
        <v>265</v>
      </c>
      <c r="B15" s="81"/>
      <c r="C15" s="57">
        <f>C13+C14</f>
        <v>4</v>
      </c>
      <c r="D15" s="57">
        <f>D13+D14</f>
        <v>8.4</v>
      </c>
      <c r="E15" s="57">
        <f t="shared" ref="E15:Y15" si="0">E13+E14</f>
        <v>4</v>
      </c>
      <c r="F15" s="57">
        <f t="shared" si="0"/>
        <v>4.8</v>
      </c>
      <c r="G15" s="57">
        <f t="shared" si="0"/>
        <v>4.8</v>
      </c>
      <c r="H15" s="57">
        <f t="shared" si="0"/>
        <v>4</v>
      </c>
      <c r="I15" s="57">
        <f t="shared" si="0"/>
        <v>6.4</v>
      </c>
      <c r="J15" s="57">
        <f t="shared" si="0"/>
        <v>6.4</v>
      </c>
      <c r="K15" s="80">
        <f>K13+K14</f>
        <v>4</v>
      </c>
      <c r="L15" s="80">
        <f>L13+L14</f>
        <v>4</v>
      </c>
      <c r="M15" s="80">
        <f>M13+M14</f>
        <v>3.8</v>
      </c>
      <c r="N15" s="57">
        <f t="shared" si="0"/>
        <v>4.8</v>
      </c>
      <c r="O15" s="57">
        <f t="shared" si="0"/>
        <v>6.4</v>
      </c>
      <c r="P15" s="57">
        <f t="shared" si="0"/>
        <v>4.8</v>
      </c>
      <c r="Q15" s="57">
        <f t="shared" si="0"/>
        <v>4.8</v>
      </c>
      <c r="R15" s="57">
        <f t="shared" si="0"/>
        <v>8</v>
      </c>
      <c r="S15" s="57">
        <f t="shared" si="0"/>
        <v>8</v>
      </c>
      <c r="T15" s="57">
        <f t="shared" si="0"/>
        <v>4.8000000000000007</v>
      </c>
      <c r="U15" s="57">
        <f t="shared" si="0"/>
        <v>6.4</v>
      </c>
      <c r="V15" s="57">
        <f t="shared" si="0"/>
        <v>6.4</v>
      </c>
      <c r="W15" s="57">
        <f t="shared" si="0"/>
        <v>4</v>
      </c>
      <c r="X15" s="57">
        <f t="shared" si="0"/>
        <v>6.4</v>
      </c>
      <c r="Y15" s="57">
        <f t="shared" si="0"/>
        <v>6.4</v>
      </c>
      <c r="Z15" s="57">
        <f>Z13+Z14</f>
        <v>4.8</v>
      </c>
      <c r="AA15" s="57">
        <f>AA13+AA14</f>
        <v>4</v>
      </c>
      <c r="AB15" s="57">
        <f t="shared" ref="AB15" si="1">AB13+AB14</f>
        <v>2</v>
      </c>
      <c r="AC15" s="57">
        <f t="shared" ref="AC15" si="2">AC13+AC14</f>
        <v>2.4</v>
      </c>
      <c r="AD15" s="57">
        <f t="shared" ref="AD15" si="3">AD13+AD14</f>
        <v>3.2</v>
      </c>
      <c r="AE15" s="57">
        <f t="shared" ref="AE15" si="4">AE13+AE14</f>
        <v>4</v>
      </c>
      <c r="AF15" s="57">
        <f t="shared" ref="AF15:AH15" si="5">AF13+AF14</f>
        <v>4</v>
      </c>
      <c r="AG15" s="57">
        <f t="shared" si="5"/>
        <v>2</v>
      </c>
      <c r="AH15" s="57">
        <f t="shared" si="5"/>
        <v>2</v>
      </c>
    </row>
    <row r="16" spans="1:34" x14ac:dyDescent="0.2">
      <c r="G16" s="80"/>
      <c r="H16" s="80"/>
      <c r="I16" s="80"/>
      <c r="J16" s="80"/>
      <c r="K16" s="80"/>
      <c r="L16" s="80"/>
      <c r="M16" s="80"/>
      <c r="AG16" s="84"/>
      <c r="AH16" s="84"/>
    </row>
    <row r="17" spans="1:34" x14ac:dyDescent="0.2">
      <c r="A17" t="s">
        <v>96</v>
      </c>
      <c r="C17" t="str">
        <f>'A 01'!E18</f>
        <v>TIPO A</v>
      </c>
      <c r="D17" s="2" t="str">
        <f>'A 02'!E16</f>
        <v>NA</v>
      </c>
      <c r="E17" t="str">
        <f>'A 03'!E16</f>
        <v>TIPO A</v>
      </c>
      <c r="F17" t="str">
        <f>'A 04'!E16</f>
        <v>TIPO B</v>
      </c>
      <c r="G17" s="2" t="str">
        <f>'A 05'!E16</f>
        <v xml:space="preserve">TIPO A </v>
      </c>
      <c r="H17" s="2" t="str">
        <f>'A 06'!E16</f>
        <v>TIPO A</v>
      </c>
      <c r="I17" s="2" t="str">
        <f>'A 07'!E16</f>
        <v>NA</v>
      </c>
      <c r="J17" s="2" t="str">
        <f>'A 08'!E16</f>
        <v>TIPO B</v>
      </c>
      <c r="K17" s="2" t="str">
        <f>'A 09'!E16</f>
        <v xml:space="preserve">TIPO A </v>
      </c>
      <c r="L17" s="2" t="str">
        <f>'A 10'!E16</f>
        <v xml:space="preserve">TIPO A </v>
      </c>
      <c r="M17" s="2" t="str">
        <f>'A 11'!E16</f>
        <v xml:space="preserve">TIPO A </v>
      </c>
      <c r="N17" t="str">
        <f>'A 12'!E16</f>
        <v xml:space="preserve">TIPO B </v>
      </c>
      <c r="O17">
        <f>'B 01'!D16</f>
        <v>0</v>
      </c>
      <c r="P17" t="str">
        <f>'B 02'!E16</f>
        <v>NA</v>
      </c>
      <c r="Q17" t="str">
        <f>'B 03'!E16</f>
        <v>NA</v>
      </c>
      <c r="R17" t="str">
        <f>'B 04'!E16</f>
        <v>NA</v>
      </c>
      <c r="S17" t="str">
        <f>'B 05'!E16</f>
        <v>NA</v>
      </c>
      <c r="T17" t="str">
        <f>'B 06'!E16</f>
        <v>NA</v>
      </c>
      <c r="U17" t="str">
        <f>'C 01'!E16</f>
        <v>NA</v>
      </c>
      <c r="V17" t="str">
        <f>'C 02'!E16</f>
        <v>NA</v>
      </c>
      <c r="W17" t="str">
        <f>'C 03'!E16</f>
        <v>TIPO A</v>
      </c>
      <c r="X17" t="str">
        <f>'D 01'!E18</f>
        <v>NA</v>
      </c>
      <c r="Y17" t="str">
        <f>'D 02'!E16</f>
        <v>NA</v>
      </c>
      <c r="Z17" t="str">
        <f>'D 03'!E16</f>
        <v>TIPO A</v>
      </c>
      <c r="AA17" t="str">
        <f>'D 04'!E16</f>
        <v>NA</v>
      </c>
      <c r="AB17" t="str">
        <f>'E 01'!E16</f>
        <v>NA</v>
      </c>
      <c r="AC17" t="str">
        <f>'E 02'!E16</f>
        <v>NA</v>
      </c>
      <c r="AD17" t="str">
        <f>'E 03'!E16</f>
        <v>NA</v>
      </c>
      <c r="AE17" t="str">
        <f>'F 01'!E16</f>
        <v xml:space="preserve">TIPO B </v>
      </c>
      <c r="AF17" t="str">
        <f>'F 02'!E16</f>
        <v xml:space="preserve">TIPO B </v>
      </c>
      <c r="AG17" s="84" t="str">
        <f>'F 03'!E16</f>
        <v>NA</v>
      </c>
      <c r="AH17" s="84" t="str">
        <f>'F 04'!E17</f>
        <v>NA</v>
      </c>
    </row>
    <row r="18" spans="1:34" x14ac:dyDescent="0.2">
      <c r="AG18" s="84"/>
      <c r="AH18" s="84"/>
    </row>
    <row r="19" spans="1:34" ht="34" x14ac:dyDescent="0.2">
      <c r="A19" s="5" t="s">
        <v>119</v>
      </c>
      <c r="B19" t="s">
        <v>0</v>
      </c>
      <c r="C19" s="11">
        <f>'A 01'!E20</f>
        <v>82.688000000000002</v>
      </c>
      <c r="D19" s="11">
        <f>'A 02'!E18</f>
        <v>386.4</v>
      </c>
      <c r="E19" s="11">
        <f>'A 03'!E18</f>
        <v>113.36</v>
      </c>
      <c r="F19" s="11">
        <f>'A 04'!E18</f>
        <v>255.60000000000002</v>
      </c>
      <c r="G19" s="11">
        <f>'A 05'!E18</f>
        <v>135.56</v>
      </c>
      <c r="H19" s="11">
        <f>'A 06'!E18</f>
        <v>117.60000000000001</v>
      </c>
      <c r="I19" s="11">
        <f>'A 07'!E18</f>
        <v>208.8</v>
      </c>
      <c r="J19" s="11">
        <f>'A 08'!E18</f>
        <v>301.60000000000002</v>
      </c>
      <c r="K19" s="11">
        <f>'A 09'!E18</f>
        <v>209.60000000000002</v>
      </c>
      <c r="L19" s="11">
        <f>'A 10'!E18</f>
        <v>237.60000000000002</v>
      </c>
      <c r="M19" s="11">
        <f>'A 11'!E18</f>
        <v>118.4</v>
      </c>
      <c r="N19" s="11">
        <f>'A 12'!E18</f>
        <v>325.60000000000002</v>
      </c>
      <c r="O19" s="11">
        <f>'B 01'!E18</f>
        <v>129.6</v>
      </c>
      <c r="P19" s="11">
        <f>'B 02'!E18</f>
        <v>720</v>
      </c>
      <c r="Q19" s="11">
        <f>'B 03'!E18</f>
        <v>739.71199999999999</v>
      </c>
      <c r="R19" s="11">
        <f>'B 04'!E18</f>
        <v>315.20000000000005</v>
      </c>
      <c r="S19" s="11">
        <f>'B 05'!E18</f>
        <v>316</v>
      </c>
      <c r="T19" s="11">
        <f>'B 06'!E18</f>
        <v>598.89600000000007</v>
      </c>
      <c r="U19" s="11">
        <f>'C 01'!E18</f>
        <v>916.92800000000011</v>
      </c>
      <c r="V19" s="11">
        <f>'C 02'!E18</f>
        <v>1009.4000000000001</v>
      </c>
      <c r="W19" s="11">
        <f>'C 03'!E18</f>
        <v>926.94400000000007</v>
      </c>
      <c r="X19" s="11">
        <f>'D 01'!E20</f>
        <v>99.2</v>
      </c>
      <c r="Y19" s="11">
        <f>'D 02'!E18</f>
        <v>89.992000000000004</v>
      </c>
      <c r="Z19" s="11">
        <f>'D 03'!E18</f>
        <v>475</v>
      </c>
      <c r="AA19" s="11">
        <f>'D 04'!E18</f>
        <v>1512.7840000000001</v>
      </c>
      <c r="AB19" s="11">
        <f>'E 01'!E18</f>
        <v>75.209999999999994</v>
      </c>
      <c r="AC19" s="11">
        <f>'E 02'!E18</f>
        <v>220</v>
      </c>
      <c r="AD19" s="11">
        <f>'E 03'!E18</f>
        <v>200</v>
      </c>
      <c r="AE19" s="11">
        <f>'F 01'!E18</f>
        <v>1360</v>
      </c>
      <c r="AF19" s="11">
        <f>'F 02'!E18</f>
        <v>1356</v>
      </c>
      <c r="AG19">
        <f>'F 03'!E18</f>
        <v>86.7</v>
      </c>
      <c r="AH19">
        <f>'F 04'!E19</f>
        <v>85.5</v>
      </c>
    </row>
    <row r="20" spans="1:34" x14ac:dyDescent="0.2">
      <c r="A20" s="50" t="s">
        <v>94</v>
      </c>
      <c r="B20" s="50" t="s">
        <v>0</v>
      </c>
      <c r="C20" s="50">
        <f>'A 01'!E21</f>
        <v>413.44</v>
      </c>
      <c r="D20" s="94">
        <f>'A 02'!E19</f>
        <v>4636.8</v>
      </c>
      <c r="E20" s="94">
        <f>'A 03'!E19</f>
        <v>566.79999999999995</v>
      </c>
      <c r="F20" s="94">
        <f>'A 04'!E19</f>
        <v>1533.6</v>
      </c>
      <c r="G20" s="94">
        <f>'A 05'!E19</f>
        <v>905.71199999999999</v>
      </c>
      <c r="H20" s="94">
        <f>'A 06'!E19</f>
        <v>588</v>
      </c>
      <c r="I20" s="94">
        <f>'A 07'!E19</f>
        <v>1670.4</v>
      </c>
      <c r="J20" s="94">
        <f>'A 08'!E19</f>
        <v>2412.8000000000002</v>
      </c>
      <c r="K20" s="94">
        <f>'A 09'!E19</f>
        <v>1048</v>
      </c>
      <c r="L20" s="94">
        <f>'A 10'!E19</f>
        <v>1188</v>
      </c>
      <c r="M20" s="94">
        <f>'A 11'!E19</f>
        <v>592</v>
      </c>
      <c r="N20" s="94">
        <f>'A 12'!E19</f>
        <v>1953.6</v>
      </c>
      <c r="O20" s="94">
        <f>'B 01'!E19</f>
        <v>1036.8</v>
      </c>
      <c r="P20" s="94">
        <f>'B 02'!E19</f>
        <v>4320</v>
      </c>
      <c r="Q20" s="94">
        <f>'B 03'!E19</f>
        <v>4438.2719999999999</v>
      </c>
      <c r="R20" s="94">
        <f>'B 04'!E19</f>
        <v>3152</v>
      </c>
      <c r="S20" s="94">
        <f>'B 05'!E19</f>
        <v>3160</v>
      </c>
      <c r="T20" s="94">
        <f>'B 06'!E19</f>
        <v>3593.3760000000007</v>
      </c>
      <c r="U20" s="94">
        <f>'C 01'!E19</f>
        <v>7335.4240000000009</v>
      </c>
      <c r="V20" s="94">
        <f>'C 02'!E19</f>
        <v>8075.2000000000007</v>
      </c>
      <c r="W20" s="94">
        <f>'C 03'!E19</f>
        <v>4634.72</v>
      </c>
      <c r="X20" s="94">
        <f>'D 01'!E21</f>
        <v>793.6</v>
      </c>
      <c r="Y20" s="94">
        <f>'D 02'!E19</f>
        <v>719.93600000000004</v>
      </c>
      <c r="Z20" s="94">
        <f>'D 03'!E19</f>
        <v>2850</v>
      </c>
      <c r="AA20" s="94">
        <f>'D 04'!E19</f>
        <v>7563.92</v>
      </c>
      <c r="AB20" s="94">
        <f>'E 01'!E19</f>
        <v>227.84</v>
      </c>
      <c r="AC20" s="94">
        <f>'E 02'!E19</f>
        <v>660</v>
      </c>
      <c r="AD20" s="94">
        <f>'E 03'!E19</f>
        <v>800</v>
      </c>
      <c r="AE20" s="94">
        <f>'F 01'!E19</f>
        <v>6800</v>
      </c>
      <c r="AF20" s="94">
        <f>'F 02'!E19</f>
        <v>6780</v>
      </c>
      <c r="AG20" s="50">
        <f>'F 03'!E19</f>
        <v>246</v>
      </c>
      <c r="AH20" s="50">
        <f>'F 04'!E20</f>
        <v>248</v>
      </c>
    </row>
    <row r="21" spans="1:34" x14ac:dyDescent="0.2">
      <c r="A21" t="s">
        <v>39</v>
      </c>
      <c r="B21" t="s">
        <v>40</v>
      </c>
      <c r="C21" s="11">
        <f>'A 01'!E22</f>
        <v>5</v>
      </c>
      <c r="D21" s="11">
        <f>'A 02'!E20</f>
        <v>12.000000000000002</v>
      </c>
      <c r="E21" s="11">
        <f>'A 03'!E20</f>
        <v>5</v>
      </c>
      <c r="F21" s="11">
        <f>'A 04'!E20</f>
        <v>5.9999999999999991</v>
      </c>
      <c r="G21" s="11">
        <f>'A 05'!E20</f>
        <v>7</v>
      </c>
      <c r="H21" s="11">
        <f>'A 06'!E20</f>
        <v>5</v>
      </c>
      <c r="I21" s="11">
        <f>'A 07'!E20</f>
        <v>8</v>
      </c>
      <c r="J21" s="11">
        <f>'A 08'!E20</f>
        <v>8</v>
      </c>
      <c r="K21" s="11">
        <f>'A 09'!E20</f>
        <v>4.9999999999999991</v>
      </c>
      <c r="L21" s="11">
        <f>'A 10'!E20</f>
        <v>4.9999999999999991</v>
      </c>
      <c r="M21" s="11">
        <f>'A 11'!E20</f>
        <v>5</v>
      </c>
      <c r="N21" s="11">
        <f>'A 12'!E20</f>
        <v>5.9999999999999991</v>
      </c>
      <c r="O21" s="11">
        <f>'B 01'!E20</f>
        <v>8</v>
      </c>
      <c r="P21" s="11">
        <f>'B 02'!E20</f>
        <v>6</v>
      </c>
      <c r="Q21" s="11">
        <f>'B 03'!E20</f>
        <v>6</v>
      </c>
      <c r="R21" s="11">
        <f>'B 04'!E20</f>
        <v>9.9999999999999982</v>
      </c>
      <c r="S21" s="11">
        <f>'B 05'!E20</f>
        <v>10</v>
      </c>
      <c r="T21" s="11">
        <f>'B 06'!E20</f>
        <v>6</v>
      </c>
      <c r="U21" s="11">
        <f>'C 01'!E20</f>
        <v>8</v>
      </c>
      <c r="V21" s="11">
        <f>'C 02'!E20</f>
        <v>8</v>
      </c>
      <c r="W21" s="11">
        <f>'C 03'!E20</f>
        <v>5</v>
      </c>
      <c r="X21" s="11">
        <f>'D 01'!E22</f>
        <v>8</v>
      </c>
      <c r="Y21" s="11">
        <f>'D 02'!E20</f>
        <v>8</v>
      </c>
      <c r="Z21" s="11">
        <f>'D 03'!E20</f>
        <v>6</v>
      </c>
      <c r="AA21" s="11">
        <f>'D 04'!E20</f>
        <v>5</v>
      </c>
      <c r="AB21" s="11">
        <f>'E 01'!E20</f>
        <v>3</v>
      </c>
      <c r="AC21" s="11">
        <f>'E 02'!E20</f>
        <v>3</v>
      </c>
      <c r="AD21" s="11">
        <f>'E 03'!E20</f>
        <v>4</v>
      </c>
      <c r="AE21" s="11">
        <f>'F 01'!E20</f>
        <v>5</v>
      </c>
      <c r="AF21" s="11">
        <f>'F 02'!E20</f>
        <v>5</v>
      </c>
      <c r="AG21">
        <f>'F 03'!E20</f>
        <v>3</v>
      </c>
      <c r="AH21">
        <f>'F 04'!E21</f>
        <v>3</v>
      </c>
    </row>
    <row r="22" spans="1:34" x14ac:dyDescent="0.2">
      <c r="A22" t="s">
        <v>229</v>
      </c>
      <c r="B22" t="s">
        <v>0</v>
      </c>
      <c r="C22">
        <f>'A 01'!E23</f>
        <v>15</v>
      </c>
      <c r="D22" s="11">
        <f>'A 02'!E21</f>
        <v>36.000000000000007</v>
      </c>
      <c r="E22" s="11">
        <f>'A 03'!E21</f>
        <v>15</v>
      </c>
      <c r="F22" s="11">
        <f>'A 04'!E21</f>
        <v>17.999999999999996</v>
      </c>
      <c r="G22" s="11">
        <f>'A 05'!E21</f>
        <v>20</v>
      </c>
      <c r="H22" s="11">
        <f>'A 06'!E21</f>
        <v>15</v>
      </c>
      <c r="I22" s="11">
        <f>'A 07'!E21</f>
        <v>24</v>
      </c>
      <c r="J22" s="11">
        <f>'A 08'!E21</f>
        <v>24</v>
      </c>
      <c r="K22" s="11">
        <f>'A 09'!E21</f>
        <v>14.999999999999996</v>
      </c>
      <c r="L22" s="11">
        <f>'A 10'!E21</f>
        <v>14.999999999999996</v>
      </c>
      <c r="M22" s="11">
        <f>'A 11'!E21</f>
        <v>15</v>
      </c>
      <c r="N22" s="11">
        <f>'A 12'!E21</f>
        <v>17.999999999999996</v>
      </c>
      <c r="O22" s="11">
        <f>'B 01'!E21</f>
        <v>24</v>
      </c>
      <c r="P22" s="11">
        <f>'B 02'!E21</f>
        <v>18</v>
      </c>
      <c r="Q22" s="11">
        <f>'B 03'!E21</f>
        <v>18</v>
      </c>
      <c r="R22" s="11">
        <f>'B 04'!E21</f>
        <v>29.999999999999993</v>
      </c>
      <c r="S22" s="11">
        <f>'B 05'!E21</f>
        <v>30</v>
      </c>
      <c r="T22" s="11">
        <f>'B 06'!E21</f>
        <v>18</v>
      </c>
      <c r="U22" s="11">
        <f>'C 01'!E21</f>
        <v>24</v>
      </c>
      <c r="V22" s="11">
        <f>'C 02'!E21</f>
        <v>24</v>
      </c>
      <c r="W22" s="11">
        <f>'C 03'!E21</f>
        <v>15</v>
      </c>
      <c r="X22" s="11">
        <f>'D 01'!E23</f>
        <v>24</v>
      </c>
      <c r="Y22" s="11">
        <f>'D 02'!E21</f>
        <v>24</v>
      </c>
      <c r="Z22" s="11">
        <f>'D 03'!E21</f>
        <v>18</v>
      </c>
      <c r="AA22" s="11">
        <f>'D 04'!E21</f>
        <v>15</v>
      </c>
      <c r="AB22" s="11">
        <f>'E 01'!E21</f>
        <v>9</v>
      </c>
      <c r="AC22" s="11">
        <f>'E 02'!E21</f>
        <v>9</v>
      </c>
      <c r="AD22" s="11">
        <f>'E 03'!E21</f>
        <v>12</v>
      </c>
      <c r="AE22" s="11">
        <f>'F 01'!E21</f>
        <v>15</v>
      </c>
      <c r="AF22" s="11">
        <f>'F 02'!E21</f>
        <v>15</v>
      </c>
      <c r="AG22">
        <f>'F 03'!E21</f>
        <v>9</v>
      </c>
      <c r="AH22">
        <f>'F 04'!E22</f>
        <v>9</v>
      </c>
    </row>
    <row r="23" spans="1:34" x14ac:dyDescent="0.2">
      <c r="AG23" s="84"/>
      <c r="AH23" s="84"/>
    </row>
    <row r="24" spans="1:34" x14ac:dyDescent="0.2">
      <c r="A24" t="s">
        <v>224</v>
      </c>
      <c r="B24" t="s">
        <v>263</v>
      </c>
      <c r="C24">
        <f>'A 01'!G33</f>
        <v>4</v>
      </c>
      <c r="D24">
        <f>'A 02'!F25</f>
        <v>60</v>
      </c>
      <c r="E24" s="79">
        <f>'A 03'!G27</f>
        <v>0</v>
      </c>
      <c r="F24">
        <f>'A 04'!G26</f>
        <v>12</v>
      </c>
      <c r="G24" s="79">
        <f>'A 05'!G26</f>
        <v>2</v>
      </c>
      <c r="H24" s="79">
        <f>'A 06'!G26</f>
        <v>5</v>
      </c>
      <c r="I24" s="79">
        <f>'A 07'!G25</f>
        <v>16</v>
      </c>
      <c r="J24" s="79">
        <f>'A 08'!G26</f>
        <v>35</v>
      </c>
      <c r="K24" s="79">
        <f>'A 09'!G26</f>
        <v>4</v>
      </c>
      <c r="L24" s="79">
        <f>'A 10'!G26</f>
        <v>9</v>
      </c>
      <c r="M24" s="79">
        <f>'A 11'!G26</f>
        <v>2</v>
      </c>
      <c r="N24">
        <f>'A 12'!G26</f>
        <v>16</v>
      </c>
      <c r="O24">
        <f>'B 01'!F25</f>
        <v>0</v>
      </c>
      <c r="P24">
        <f>'B 02'!G25</f>
        <v>54</v>
      </c>
      <c r="Q24">
        <f>'B 03'!G25</f>
        <v>54</v>
      </c>
      <c r="R24">
        <f>'B 04'!G25</f>
        <v>40</v>
      </c>
      <c r="S24">
        <f>'B 05'!G25</f>
        <v>40</v>
      </c>
      <c r="T24">
        <f>'B 06'!G25</f>
        <v>0</v>
      </c>
      <c r="U24">
        <f>'C 01'!F25</f>
        <v>88</v>
      </c>
      <c r="V24">
        <f>'C 02'!F25</f>
        <v>96</v>
      </c>
      <c r="W24">
        <f>'C 03'!G26</f>
        <v>53</v>
      </c>
      <c r="X24">
        <f>'D 01'!F27</f>
        <v>8</v>
      </c>
      <c r="Y24">
        <f>'D 02'!F25</f>
        <v>8</v>
      </c>
      <c r="Z24">
        <f>'D 03'!G26</f>
        <v>30</v>
      </c>
      <c r="AA24">
        <f>'D 04'!G25</f>
        <v>75</v>
      </c>
      <c r="AB24">
        <f>'E 01'!F25</f>
        <v>0</v>
      </c>
      <c r="AC24">
        <f>'E 02'!F25</f>
        <v>6</v>
      </c>
      <c r="AD24">
        <f>'E 03'!F25</f>
        <v>0</v>
      </c>
      <c r="AE24">
        <f>'F 01'!G26</f>
        <v>68</v>
      </c>
      <c r="AF24">
        <f>'F 02'!G26</f>
        <v>68</v>
      </c>
      <c r="AG24">
        <f>'F 03'!G25</f>
        <v>3</v>
      </c>
      <c r="AH24">
        <f>'F 04'!F26</f>
        <v>3</v>
      </c>
    </row>
    <row r="25" spans="1:34" x14ac:dyDescent="0.2">
      <c r="A25" t="s">
        <v>225</v>
      </c>
      <c r="B25" t="s">
        <v>263</v>
      </c>
      <c r="C25">
        <f>'A 01'!G34</f>
        <v>0</v>
      </c>
      <c r="D25">
        <f>'A 02'!G26</f>
        <v>0</v>
      </c>
      <c r="E25" s="79">
        <f>'A 03'!G28</f>
        <v>3</v>
      </c>
      <c r="F25">
        <f>'A 04'!G27</f>
        <v>4</v>
      </c>
      <c r="G25" s="79">
        <f>'A 05'!G27</f>
        <v>0</v>
      </c>
      <c r="H25" s="79">
        <f>'A 06'!G27</f>
        <v>0</v>
      </c>
      <c r="I25" s="79">
        <f>'A 07'!G26</f>
        <v>0</v>
      </c>
      <c r="J25" s="79">
        <f>'A 08'!G27</f>
        <v>0</v>
      </c>
      <c r="K25" s="79">
        <f>'A 09'!G27</f>
        <v>6</v>
      </c>
      <c r="L25" s="79">
        <f>'A 10'!G27</f>
        <v>4</v>
      </c>
      <c r="M25" s="79">
        <f>'A 11'!G27</f>
        <v>3</v>
      </c>
      <c r="N25">
        <f>'A 12'!G27</f>
        <v>0</v>
      </c>
      <c r="O25">
        <f>'B 01'!F26</f>
        <v>0</v>
      </c>
      <c r="P25">
        <f>'B 02'!F26</f>
        <v>0</v>
      </c>
      <c r="Q25">
        <f>'B 03'!G26</f>
        <v>0</v>
      </c>
      <c r="R25">
        <f>'B 04'!G26</f>
        <v>0</v>
      </c>
      <c r="S25">
        <f>'B 05'!G26</f>
        <v>0</v>
      </c>
      <c r="T25">
        <f>'B 06'!G26</f>
        <v>0</v>
      </c>
      <c r="U25">
        <f>'C 01'!F26</f>
        <v>0</v>
      </c>
      <c r="V25">
        <f>'C 02'!F26</f>
        <v>0</v>
      </c>
      <c r="W25">
        <f>'C 03'!G27</f>
        <v>0</v>
      </c>
      <c r="X25">
        <f>'D 01'!F28</f>
        <v>0</v>
      </c>
      <c r="Y25">
        <f>'D 02'!F26</f>
        <v>0</v>
      </c>
      <c r="Z25">
        <f>'D 03'!G27</f>
        <v>0</v>
      </c>
      <c r="AA25">
        <f>'D 04'!G26</f>
        <v>0</v>
      </c>
      <c r="AB25">
        <f>'E 01'!F26</f>
        <v>0</v>
      </c>
      <c r="AC25">
        <f>'E 02'!F26</f>
        <v>0</v>
      </c>
      <c r="AD25">
        <f>'E 03'!F26</f>
        <v>0</v>
      </c>
      <c r="AE25">
        <f>'F 01'!G27</f>
        <v>0</v>
      </c>
      <c r="AF25">
        <f>'F 02'!G27</f>
        <v>0</v>
      </c>
      <c r="AG25">
        <f>'F 03'!G26</f>
        <v>0</v>
      </c>
      <c r="AH25">
        <f>'F 04'!F27</f>
        <v>0</v>
      </c>
    </row>
    <row r="26" spans="1:34" x14ac:dyDescent="0.2">
      <c r="A26" t="s">
        <v>226</v>
      </c>
      <c r="B26" t="s">
        <v>263</v>
      </c>
      <c r="C26">
        <f>'A 01'!G35</f>
        <v>0</v>
      </c>
      <c r="D26">
        <f>'A 02'!G27</f>
        <v>0</v>
      </c>
      <c r="E26" s="79">
        <f>'A 03'!G29</f>
        <v>2</v>
      </c>
      <c r="F26">
        <f>'A 04'!G28</f>
        <v>0</v>
      </c>
      <c r="G26" s="79">
        <f>'A 05'!G28</f>
        <v>6</v>
      </c>
      <c r="H26" s="79">
        <f>'A 06'!G28</f>
        <v>0</v>
      </c>
      <c r="I26" s="79">
        <f>'A 07'!G27</f>
        <v>0</v>
      </c>
      <c r="J26" s="79">
        <f>'A 08'!G28</f>
        <v>0</v>
      </c>
      <c r="K26" s="79">
        <f>'A 09'!G28</f>
        <v>0</v>
      </c>
      <c r="L26" s="79">
        <f>'A 10'!G28</f>
        <v>0</v>
      </c>
      <c r="M26" s="79">
        <f>'A 11'!G28</f>
        <v>0</v>
      </c>
      <c r="N26">
        <f>'A 12'!G28</f>
        <v>8</v>
      </c>
      <c r="O26">
        <f>'B 01'!F27</f>
        <v>16</v>
      </c>
      <c r="P26">
        <f>'B 02'!F27</f>
        <v>0</v>
      </c>
      <c r="Q26">
        <f>'B 03'!G27</f>
        <v>0</v>
      </c>
      <c r="R26">
        <f>'B 04'!G27</f>
        <v>0</v>
      </c>
      <c r="S26">
        <f>'B 05'!G27</f>
        <v>0</v>
      </c>
      <c r="T26">
        <f>'B 06'!G27</f>
        <v>36</v>
      </c>
      <c r="U26">
        <f>'C 01'!F27</f>
        <v>8</v>
      </c>
      <c r="V26">
        <f>'C 02'!F27</f>
        <v>8</v>
      </c>
      <c r="W26">
        <f>'C 03'!G28</f>
        <v>3</v>
      </c>
      <c r="X26">
        <f>'D 01'!F29</f>
        <v>0</v>
      </c>
      <c r="Y26">
        <f>'D 02'!F27</f>
        <v>0</v>
      </c>
      <c r="Z26">
        <f>'D 03'!G28</f>
        <v>0</v>
      </c>
      <c r="AA26">
        <f>'D 04'!G27</f>
        <v>25</v>
      </c>
      <c r="AB26">
        <f>'E 01'!F27</f>
        <v>3</v>
      </c>
      <c r="AC26">
        <f>'E 02'!F27</f>
        <v>3</v>
      </c>
      <c r="AD26">
        <f>'E 03'!F27</f>
        <v>12</v>
      </c>
      <c r="AE26">
        <f>'F 01'!G28</f>
        <v>19</v>
      </c>
      <c r="AF26">
        <f>'F 02'!G28</f>
        <v>17</v>
      </c>
      <c r="AG26">
        <f>'F 03'!G27</f>
        <v>0</v>
      </c>
      <c r="AH26">
        <f>'F 04'!F28</f>
        <v>0</v>
      </c>
    </row>
    <row r="27" spans="1:34" x14ac:dyDescent="0.2">
      <c r="AG27" s="84"/>
      <c r="AH27" s="84"/>
    </row>
    <row r="28" spans="1:34" x14ac:dyDescent="0.2">
      <c r="A28" s="50" t="s">
        <v>123</v>
      </c>
      <c r="B28" s="50" t="s">
        <v>263</v>
      </c>
      <c r="C28" s="94">
        <f>'A 01'!E37</f>
        <v>4</v>
      </c>
      <c r="D28" s="94">
        <f>'A 02'!E29</f>
        <v>60</v>
      </c>
      <c r="E28" s="94">
        <f>'A 03'!E35</f>
        <v>5</v>
      </c>
      <c r="F28" s="94">
        <f>'A 04'!E34</f>
        <v>16</v>
      </c>
      <c r="G28" s="94">
        <f>'A 05'!E34</f>
        <v>8</v>
      </c>
      <c r="H28" s="94">
        <f>'A 06'!E34</f>
        <v>5</v>
      </c>
      <c r="I28" s="94">
        <f>'A 07'!E29</f>
        <v>16</v>
      </c>
      <c r="J28" s="94">
        <f>'A 08'!E34</f>
        <v>35</v>
      </c>
      <c r="K28" s="94">
        <f>'A 09'!E34</f>
        <v>10</v>
      </c>
      <c r="L28" s="94">
        <f>'A 10'!E34</f>
        <v>13</v>
      </c>
      <c r="M28" s="94">
        <f>'A 11'!E34</f>
        <v>5</v>
      </c>
      <c r="N28" s="94">
        <f>'A 12'!E34</f>
        <v>24</v>
      </c>
      <c r="O28" s="94">
        <f>'B 01'!D29</f>
        <v>16</v>
      </c>
      <c r="P28" s="94">
        <f>'B 02'!E29</f>
        <v>54</v>
      </c>
      <c r="Q28" s="94">
        <f>'B 03'!E29</f>
        <v>54</v>
      </c>
      <c r="R28" s="94">
        <f>'B 04'!E29</f>
        <v>40</v>
      </c>
      <c r="S28" s="94">
        <f>'B 05'!E29</f>
        <v>40</v>
      </c>
      <c r="T28" s="94">
        <f>'B 06'!E29</f>
        <v>36</v>
      </c>
      <c r="U28" s="94">
        <f>'C 01'!E29</f>
        <v>96</v>
      </c>
      <c r="V28" s="94">
        <f>'C 02'!E29</f>
        <v>104</v>
      </c>
      <c r="W28" s="94">
        <f>'C 03'!E33</f>
        <v>56</v>
      </c>
      <c r="X28" s="94">
        <f>'D 01'!E31</f>
        <v>8</v>
      </c>
      <c r="Y28" s="94">
        <f>'D 02'!E29</f>
        <v>8</v>
      </c>
      <c r="Z28" s="94">
        <f>'D 03'!E34</f>
        <v>30</v>
      </c>
      <c r="AA28" s="94">
        <f>'D 04'!E29</f>
        <v>100</v>
      </c>
      <c r="AB28" s="94">
        <f>'E 01'!E29</f>
        <v>3</v>
      </c>
      <c r="AC28" s="94">
        <f>'E 02'!E29</f>
        <v>9</v>
      </c>
      <c r="AD28" s="94">
        <f>'E 03'!E29</f>
        <v>12</v>
      </c>
      <c r="AE28" s="94">
        <f>'F 01'!E34</f>
        <v>87</v>
      </c>
      <c r="AF28" s="94">
        <f>'F 02'!E34</f>
        <v>85</v>
      </c>
      <c r="AG28" s="94">
        <f>'F 03'!E29</f>
        <v>3</v>
      </c>
      <c r="AH28" s="94">
        <f>'F 04'!E30</f>
        <v>3</v>
      </c>
    </row>
    <row r="29" spans="1:34" x14ac:dyDescent="0.2">
      <c r="A29" t="s">
        <v>126</v>
      </c>
      <c r="B29" t="s">
        <v>264</v>
      </c>
      <c r="C29" s="11">
        <f>'A 01'!E38</f>
        <v>1</v>
      </c>
      <c r="D29" s="11">
        <f>'A 02'!E30</f>
        <v>15</v>
      </c>
      <c r="E29" s="11">
        <f>'A 03'!D36</f>
        <v>1.25</v>
      </c>
      <c r="F29" s="11">
        <f>'A 04'!E35</f>
        <v>4</v>
      </c>
      <c r="G29" s="11">
        <f>'A 05'!E35</f>
        <v>2</v>
      </c>
      <c r="H29" s="11">
        <f>'A 06'!E35</f>
        <v>2</v>
      </c>
      <c r="I29" s="11">
        <f>'A 07'!D30</f>
        <v>4</v>
      </c>
      <c r="J29" s="11">
        <f>'A 08'!F35</f>
        <v>0</v>
      </c>
      <c r="K29" s="11">
        <f>'A 09'!D35</f>
        <v>2.5</v>
      </c>
      <c r="L29" s="11">
        <f>'A 10'!F35</f>
        <v>4</v>
      </c>
      <c r="M29" s="11">
        <f>'A 11'!E35</f>
        <v>2</v>
      </c>
      <c r="N29" s="11">
        <f>'A 12'!D35</f>
        <v>6</v>
      </c>
      <c r="O29" s="11">
        <f>'B 01'!D30</f>
        <v>4</v>
      </c>
      <c r="P29" s="11">
        <f>'B 02'!F30</f>
        <v>13</v>
      </c>
      <c r="Q29" s="11">
        <f>'B 03'!F30</f>
        <v>13</v>
      </c>
      <c r="R29" s="11">
        <f>'B 04'!D30</f>
        <v>10</v>
      </c>
      <c r="S29" s="11">
        <f>'B 05'!D30</f>
        <v>10</v>
      </c>
      <c r="T29" s="11">
        <f>'B 06'!D30</f>
        <v>9</v>
      </c>
      <c r="U29" s="11">
        <f>'C 01'!E30</f>
        <v>24</v>
      </c>
      <c r="V29" s="11">
        <f>'C 02'!E30</f>
        <v>26</v>
      </c>
      <c r="W29" s="11">
        <f>'C 03'!E34</f>
        <v>14</v>
      </c>
      <c r="X29" s="11">
        <f>'D 01'!E32</f>
        <v>2</v>
      </c>
      <c r="Y29" s="11">
        <f>'D 02'!E30</f>
        <v>2</v>
      </c>
      <c r="Z29" s="11">
        <f>'D 03'!D35</f>
        <v>7.5</v>
      </c>
      <c r="AA29" s="11">
        <f>'D 04'!E30</f>
        <v>25</v>
      </c>
      <c r="AB29" s="11">
        <f>'E 01'!E30</f>
        <v>1</v>
      </c>
      <c r="AC29" s="11">
        <f>'E 02'!E30</f>
        <v>3</v>
      </c>
      <c r="AD29" s="11">
        <f>'E 03'!E30</f>
        <v>3</v>
      </c>
      <c r="AE29" s="11">
        <f>'F 01'!E35</f>
        <v>22</v>
      </c>
      <c r="AF29" s="11">
        <f>'F 02'!F35</f>
        <v>20</v>
      </c>
      <c r="AG29" s="11">
        <f>'F 03'!E30</f>
        <v>1</v>
      </c>
      <c r="AH29" s="11">
        <f>'F 04'!E31</f>
        <v>1</v>
      </c>
    </row>
    <row r="30" spans="1:34" x14ac:dyDescent="0.2">
      <c r="A30" t="s">
        <v>240</v>
      </c>
      <c r="B30" t="s">
        <v>0</v>
      </c>
      <c r="C30" s="11">
        <f>'A 01'!G62</f>
        <v>352</v>
      </c>
      <c r="D30" s="11">
        <f>'A 02'!G56</f>
        <v>4216.3999999999996</v>
      </c>
      <c r="E30" s="11">
        <f>'A 03'!G60</f>
        <v>474.18</v>
      </c>
      <c r="F30" s="11">
        <f>'A 04'!G59</f>
        <v>1441.3600000000001</v>
      </c>
      <c r="G30" s="11">
        <f>'A 05'!G59</f>
        <v>555.33600000000001</v>
      </c>
      <c r="H30" s="11">
        <f>'A 06'!G59</f>
        <v>442.6</v>
      </c>
      <c r="I30" s="11">
        <f>'A 07'!G54</f>
        <v>1422.24</v>
      </c>
      <c r="J30" s="11">
        <f>'A 08'!G59</f>
        <v>2423.38</v>
      </c>
      <c r="K30" s="11">
        <f>'A 09'!G59</f>
        <v>975.50000000000011</v>
      </c>
      <c r="L30" s="11">
        <f>'A 10'!G59</f>
        <v>1176.3999999999999</v>
      </c>
      <c r="M30" s="11">
        <f>'A 11'!G60</f>
        <v>503</v>
      </c>
      <c r="N30" s="11">
        <f>'A 12'!G61</f>
        <v>1927.3600000000001</v>
      </c>
      <c r="O30" s="11">
        <f>'B 01'!D31</f>
        <v>0</v>
      </c>
      <c r="P30" s="11">
        <f>'B 02'!G54</f>
        <v>4440.1499999999996</v>
      </c>
      <c r="Q30" s="11">
        <f>'B 03'!G53</f>
        <v>4451.9771999999994</v>
      </c>
      <c r="R30" s="11">
        <f>'B 04'!G53</f>
        <v>3284.2</v>
      </c>
      <c r="S30" s="11">
        <f>'B 05'!G53</f>
        <v>3336</v>
      </c>
      <c r="T30" s="11">
        <f>'B 06'!G53</f>
        <v>2671.4375999999997</v>
      </c>
      <c r="U30" s="11">
        <f>'C 01'!G53</f>
        <v>7719.1424000000006</v>
      </c>
      <c r="V30" s="11">
        <f>'C 02'!G53</f>
        <v>8446.92</v>
      </c>
      <c r="W30" s="11">
        <f>'C 03'!G57</f>
        <v>4590.0720000000001</v>
      </c>
      <c r="X30" s="11">
        <f>'D 01'!G55</f>
        <v>673.16</v>
      </c>
      <c r="Y30" s="11">
        <f>'D 02'!G53</f>
        <v>665.79359999999997</v>
      </c>
      <c r="Z30" s="11">
        <f>'D 03'!G59</f>
        <v>2520.1999999999998</v>
      </c>
      <c r="AA30" s="11">
        <f>'D 04'!G53</f>
        <v>7928.8919999999998</v>
      </c>
      <c r="AB30" s="11">
        <f>'E 01'!G53</f>
        <v>219.46299999999999</v>
      </c>
      <c r="AC30" s="11">
        <f>'E 02'!G52</f>
        <v>716.7</v>
      </c>
      <c r="AD30" s="11">
        <f>'E 03'!G52</f>
        <v>850.7</v>
      </c>
      <c r="AE30" s="11">
        <f>'F 01'!G57</f>
        <v>6951.8</v>
      </c>
      <c r="AF30" s="11">
        <f>'F 02'!G57</f>
        <v>6817.125</v>
      </c>
      <c r="AG30" s="11">
        <f>'F 03'!G52</f>
        <v>252.91</v>
      </c>
      <c r="AH30" s="11">
        <f>'F 04'!G55</f>
        <v>252.55</v>
      </c>
    </row>
    <row r="31" spans="1:34" x14ac:dyDescent="0.2">
      <c r="AG31" s="84"/>
      <c r="AH31" s="84"/>
    </row>
    <row r="32" spans="1:34" x14ac:dyDescent="0.2">
      <c r="A32" t="str">
        <f>'A 02'!B34</f>
        <v>TERRENO</v>
      </c>
      <c r="B32" s="81"/>
      <c r="C32" s="119">
        <f>'A 01'!E42</f>
        <v>4168000</v>
      </c>
      <c r="D32" s="84">
        <f>'A 02'!E34</f>
        <v>8300000</v>
      </c>
      <c r="E32" s="84">
        <f>'A 03'!E40</f>
        <v>4500000</v>
      </c>
      <c r="F32" s="84">
        <f>'A 04'!E39</f>
        <v>10380000</v>
      </c>
      <c r="G32" s="17">
        <f>'A 05'!E39</f>
        <v>3640000</v>
      </c>
      <c r="H32" s="17">
        <f>'A 06'!E39</f>
        <v>3250000</v>
      </c>
      <c r="I32" s="17">
        <f>'A 07'!E34</f>
        <v>6250000</v>
      </c>
      <c r="J32" s="17">
        <f>'A 08'!E39</f>
        <v>7500000</v>
      </c>
      <c r="K32" s="17">
        <f>'A 09'!E39</f>
        <v>12000000</v>
      </c>
      <c r="L32" s="17">
        <f>'A 10'!E39</f>
        <v>11990000</v>
      </c>
      <c r="M32" s="17">
        <f>'A 11'!E40</f>
        <v>5900000</v>
      </c>
      <c r="N32" s="84">
        <f>'A 12'!E41</f>
        <v>4500000</v>
      </c>
      <c r="O32" s="84">
        <f>'B 01'!E34</f>
        <v>3990000</v>
      </c>
      <c r="P32" s="84">
        <f>'B 02'!E34</f>
        <v>13080000</v>
      </c>
      <c r="Q32" s="84">
        <f>'B 03'!E33</f>
        <v>36000000</v>
      </c>
      <c r="R32" s="8">
        <f>'B 04'!E33</f>
        <v>9600000</v>
      </c>
      <c r="S32" s="8">
        <f>'B 05'!E33</f>
        <v>9500000</v>
      </c>
      <c r="T32" s="84">
        <f>'B 06'!E33</f>
        <v>11500000</v>
      </c>
      <c r="U32" s="84">
        <f>'C 01'!E33</f>
        <v>22500000</v>
      </c>
      <c r="V32" s="84">
        <f>'C 02'!E33</f>
        <v>85806000</v>
      </c>
      <c r="W32" s="84">
        <f>'C 03'!E37</f>
        <v>14000000</v>
      </c>
      <c r="X32" s="84">
        <f>'D 01'!E35</f>
        <v>2950000</v>
      </c>
      <c r="Y32" s="84">
        <f>'D 02'!E33</f>
        <v>7995000</v>
      </c>
      <c r="Z32" s="84">
        <f>'D 03'!E39</f>
        <v>3999000</v>
      </c>
      <c r="AA32" s="84">
        <f>'D 04'!E33</f>
        <v>70000000</v>
      </c>
      <c r="AB32" s="84">
        <f>'E 01'!E34</f>
        <v>2599999</v>
      </c>
      <c r="AC32" s="84">
        <f>'E 02'!E33</f>
        <v>3000000</v>
      </c>
      <c r="AD32" s="84">
        <f>'E 03'!E33</f>
        <v>19000000</v>
      </c>
      <c r="AE32" s="84">
        <f>'F 01'!E38</f>
        <v>16150000</v>
      </c>
      <c r="AF32" s="84">
        <f>'F 02'!E38</f>
        <v>28000000</v>
      </c>
      <c r="AG32" s="84">
        <f>'F 03'!E33</f>
        <v>3900000</v>
      </c>
      <c r="AH32" s="84">
        <f>'F 04'!E34</f>
        <v>3666000</v>
      </c>
    </row>
    <row r="33" spans="1:34" x14ac:dyDescent="0.2">
      <c r="A33" t="str">
        <f>'A 02'!B35</f>
        <v>GASTOS NOTARIALES E ITP</v>
      </c>
      <c r="B33" s="81"/>
      <c r="C33" s="119">
        <f>'A 01'!E43</f>
        <v>130489.68832</v>
      </c>
      <c r="D33" s="84">
        <f>'A 02'!E35</f>
        <v>269025.24231</v>
      </c>
      <c r="E33" s="84">
        <f>'A 03'!E41</f>
        <v>141113.68831999999</v>
      </c>
      <c r="F33" s="84">
        <f>'A 04'!E40</f>
        <v>329273.68832000002</v>
      </c>
      <c r="G33" s="17">
        <f>'A 05'!E40</f>
        <v>113593.68832</v>
      </c>
      <c r="H33" s="17">
        <f>'A 06'!E40</f>
        <v>101113.68832</v>
      </c>
      <c r="I33" s="17">
        <f>'A 07'!E35</f>
        <v>201375.24231000003</v>
      </c>
      <c r="J33" s="17">
        <f>'A 08'!E40</f>
        <v>237113.68831999999</v>
      </c>
      <c r="K33" s="17">
        <f>'A 09'!E40</f>
        <v>397464.14188000001</v>
      </c>
      <c r="L33" s="17">
        <f>'A 10'!E40</f>
        <v>397124.14188000001</v>
      </c>
      <c r="M33" s="17">
        <f>'A 11'!E41</f>
        <v>189825.24231000003</v>
      </c>
      <c r="N33" s="84">
        <f>'A 12'!E42</f>
        <v>141113.68831999999</v>
      </c>
      <c r="O33" s="84">
        <f>'B 01'!E35</f>
        <v>124793.68832</v>
      </c>
      <c r="P33" s="84">
        <f>'B 02'!E35</f>
        <v>434184.14188000007</v>
      </c>
      <c r="Q33" s="84">
        <f>'B 03'!E34</f>
        <v>1213464.14188</v>
      </c>
      <c r="R33" s="8">
        <f>'B 04'!E34</f>
        <v>311925.24231</v>
      </c>
      <c r="S33" s="8">
        <f>'B 05'!E34</f>
        <v>308625.24231</v>
      </c>
      <c r="T33" s="84">
        <f>'B 06'!E34</f>
        <v>380464.14188000001</v>
      </c>
      <c r="U33" s="84">
        <f>'C 01'!E34</f>
        <v>754464.14188000001</v>
      </c>
      <c r="V33" s="84">
        <f>'C 02'!E34</f>
        <v>2952953.8493000004</v>
      </c>
      <c r="W33" s="84">
        <f>'C 03'!E38</f>
        <v>465464.14188000007</v>
      </c>
      <c r="X33" s="84">
        <f>'D 01'!E36</f>
        <v>89574.395220000006</v>
      </c>
      <c r="Y33" s="84">
        <f>'D 02'!E34</f>
        <v>258960.24231000003</v>
      </c>
      <c r="Z33" s="84">
        <f>'D 03'!E40</f>
        <v>125081.68832</v>
      </c>
      <c r="AA33" s="84">
        <f>'D 04'!E34</f>
        <v>2399743.8493000004</v>
      </c>
      <c r="AB33" s="84">
        <f>'E 01'!E35</f>
        <v>78724.364220000003</v>
      </c>
      <c r="AC33" s="84">
        <f>'E 02'!E34</f>
        <v>91124.395220000006</v>
      </c>
      <c r="AD33" s="84">
        <f>'E 03'!E34</f>
        <v>635464.14188000001</v>
      </c>
      <c r="AE33" s="84">
        <f>'F 01'!E39</f>
        <v>538564.14188000001</v>
      </c>
      <c r="AF33" s="84">
        <f>'F 02'!E39</f>
        <v>941464.14188000013</v>
      </c>
      <c r="AG33" s="84">
        <f>'F 03'!E34</f>
        <v>121913.68832</v>
      </c>
      <c r="AH33" s="84">
        <f>'F 04'!E35</f>
        <v>114425.68832</v>
      </c>
    </row>
    <row r="34" spans="1:34" x14ac:dyDescent="0.2">
      <c r="A34" t="str">
        <f>'A 02'!B36</f>
        <v xml:space="preserve">COSTO DE CONSTRUCCIÓN </v>
      </c>
      <c r="B34" s="81"/>
      <c r="C34" s="119">
        <f>'A 01'!E44</f>
        <v>0</v>
      </c>
      <c r="D34" s="84">
        <f>'A 02'!E36</f>
        <v>70370029.439999998</v>
      </c>
      <c r="E34" s="84">
        <f>'A 03'!E42</f>
        <v>7913874.5280000009</v>
      </c>
      <c r="F34" s="84">
        <f>'A 04'!E41</f>
        <v>24055721.856000006</v>
      </c>
      <c r="G34" s="17">
        <f>'A 05'!E41</f>
        <v>9268335.7056000009</v>
      </c>
      <c r="H34" s="17">
        <f>'A 06'!E41</f>
        <v>7386816.9600000009</v>
      </c>
      <c r="I34" s="17">
        <f>'A 07'!E36</f>
        <v>23736616.704000004</v>
      </c>
      <c r="J34" s="17">
        <f>'A 08'!E41</f>
        <v>40445242.848000005</v>
      </c>
      <c r="K34" s="17">
        <f>'A 09'!E41</f>
        <v>16280704.800000004</v>
      </c>
      <c r="L34" s="17">
        <f>'A 10'!E41</f>
        <v>19633645.440000001</v>
      </c>
      <c r="M34" s="17">
        <f>'A 11'!E42</f>
        <v>8394868.8000000007</v>
      </c>
      <c r="N34" s="84">
        <f>'A 12'!E43</f>
        <v>32166867.456000008</v>
      </c>
      <c r="O34" s="84">
        <f>'B 01'!E36</f>
        <v>17879234.688000001</v>
      </c>
      <c r="P34" s="84">
        <f>'B 02'!E36</f>
        <v>74104327.439999998</v>
      </c>
      <c r="Q34" s="84">
        <f>'B 03'!E35</f>
        <v>74301718.67712</v>
      </c>
      <c r="R34" s="8">
        <f>'B 04'!E35</f>
        <v>54811984.320000008</v>
      </c>
      <c r="S34" s="8">
        <f>'B 05'!E35</f>
        <v>55676505.600000009</v>
      </c>
      <c r="T34" s="84">
        <f>'B 06'!E35</f>
        <v>44585224.968960002</v>
      </c>
      <c r="U34" s="84">
        <f>'C 01'!E35</f>
        <v>128829398.99904002</v>
      </c>
      <c r="V34" s="84">
        <f>'C 02'!E35</f>
        <v>140975716.03200001</v>
      </c>
      <c r="W34" s="84">
        <f>'C 03'!E39</f>
        <v>76606465.651200011</v>
      </c>
      <c r="X34" s="84">
        <f>'D 01'!E37</f>
        <v>11234771.136000002</v>
      </c>
      <c r="Y34" s="84">
        <f>'D 02'!E35</f>
        <v>11111828.866560001</v>
      </c>
      <c r="Z34" s="84">
        <f>'D 03'!E41</f>
        <v>42061129.920000002</v>
      </c>
      <c r="AA34" s="84">
        <f>'D 04'!E35</f>
        <v>132330035.92320001</v>
      </c>
      <c r="AB34" s="84">
        <f>'E 01'!E36</f>
        <v>3662749.6848000004</v>
      </c>
      <c r="AC34" s="84">
        <f>'E 02'!E35</f>
        <v>11961436.320000002</v>
      </c>
      <c r="AD34" s="84">
        <f>'E 03'!E35</f>
        <v>14197842.720000003</v>
      </c>
      <c r="AE34" s="84">
        <f>'F 01'!E40</f>
        <v>116022761.28000002</v>
      </c>
      <c r="AF34" s="84">
        <f>'F 02'!E40</f>
        <v>113775089.40000002</v>
      </c>
      <c r="AG34" s="84">
        <f>'F 03'!E35</f>
        <v>4220966.7360000005</v>
      </c>
      <c r="AH34" s="84">
        <f>'F 04'!E36</f>
        <v>4214958.4800000004</v>
      </c>
    </row>
    <row r="35" spans="1:34" x14ac:dyDescent="0.2">
      <c r="A35" t="str">
        <f>'A 02'!B37</f>
        <v>COSTO DE ASESORÍAS DE ESPECIALISTAS</v>
      </c>
      <c r="B35" s="81"/>
      <c r="C35" s="119">
        <f>'A 01'!E45</f>
        <v>0</v>
      </c>
      <c r="D35" s="84">
        <f>'A 02'!E37</f>
        <v>5629602.3552000001</v>
      </c>
      <c r="E35" s="84">
        <f>'A 03'!E43</f>
        <v>633109.96224000014</v>
      </c>
      <c r="F35" s="84">
        <f>'A 04'!E42</f>
        <v>1924457.7484800005</v>
      </c>
      <c r="G35" s="17">
        <f>'A 05'!E42</f>
        <v>741466.85644800006</v>
      </c>
      <c r="H35" s="17">
        <f>'A 06'!E42</f>
        <v>590945.35680000007</v>
      </c>
      <c r="I35" s="17">
        <f>'A 07'!E37</f>
        <v>1898929.3363200002</v>
      </c>
      <c r="J35" s="17">
        <f>'A 08'!E42</f>
        <v>3235619.4278400005</v>
      </c>
      <c r="K35" s="17">
        <f>'A 09'!E42</f>
        <v>1302456.3840000003</v>
      </c>
      <c r="L35" s="17">
        <f>'A 10'!E42</f>
        <v>1570691.6352000001</v>
      </c>
      <c r="M35" s="17">
        <f>'A 11'!E43</f>
        <v>671589.50400000007</v>
      </c>
      <c r="N35" s="84">
        <f>'A 12'!E44</f>
        <v>2573349.3964800006</v>
      </c>
      <c r="O35" s="84">
        <f>'B 01'!E37</f>
        <v>1430338.7750400002</v>
      </c>
      <c r="P35" s="84">
        <f>'B 02'!E37</f>
        <v>5928346.1952</v>
      </c>
      <c r="Q35" s="84">
        <f>'B 03'!E36</f>
        <v>5944137.4941696003</v>
      </c>
      <c r="R35" s="8">
        <f>'B 04'!E36</f>
        <v>4384958.745600001</v>
      </c>
      <c r="S35" s="8">
        <f>'B 05'!E36</f>
        <v>4454120.4480000008</v>
      </c>
      <c r="T35" s="84">
        <f>'B 06'!E36</f>
        <v>3566817.9975168002</v>
      </c>
      <c r="U35" s="84">
        <f>'C 01'!E36</f>
        <v>10306351.919923201</v>
      </c>
      <c r="V35" s="84">
        <f>'C 02'!E36</f>
        <v>11278057.28256</v>
      </c>
      <c r="W35" s="84">
        <f>'C 03'!E40</f>
        <v>6128517.2520960011</v>
      </c>
      <c r="X35" s="84">
        <f>'D 01'!E38</f>
        <v>898781.69088000013</v>
      </c>
      <c r="Y35" s="84">
        <f>'D 02'!E36</f>
        <v>888946.30932480004</v>
      </c>
      <c r="Z35" s="84">
        <f>'D 03'!E42</f>
        <v>3364890.3936000001</v>
      </c>
      <c r="AA35" s="84">
        <f>'D 04'!E36</f>
        <v>10586402.873856001</v>
      </c>
      <c r="AB35" s="84">
        <f>'E 01'!E37</f>
        <v>293019.97478400002</v>
      </c>
      <c r="AC35" s="84">
        <f>'E 02'!E36</f>
        <v>956914.90560000017</v>
      </c>
      <c r="AD35" s="84">
        <f>'E 03'!E36</f>
        <v>1135827.4176000003</v>
      </c>
      <c r="AE35" s="84">
        <f>'F 01'!E41</f>
        <v>9281820.9024000019</v>
      </c>
      <c r="AF35" s="84">
        <f>'F 02'!E41</f>
        <v>9102007.1520000026</v>
      </c>
      <c r="AG35" s="84">
        <f>'F 03'!E36</f>
        <v>337677.33888000005</v>
      </c>
      <c r="AH35" s="84">
        <f>'F 04'!E37</f>
        <v>337196.67840000003</v>
      </c>
    </row>
    <row r="36" spans="1:34" x14ac:dyDescent="0.2">
      <c r="A36" t="str">
        <f>'A 02'!B38</f>
        <v>TRÁMITES Y PERMISOS</v>
      </c>
      <c r="B36" s="81"/>
      <c r="C36" s="119">
        <f>'A 01'!E46</f>
        <v>0</v>
      </c>
      <c r="D36" s="84">
        <f>'A 02'!E38</f>
        <v>4925902.0608000001</v>
      </c>
      <c r="E36" s="84">
        <f>'A 03'!E44</f>
        <v>553971.21696000011</v>
      </c>
      <c r="F36" s="84">
        <f>'A 04'!E43</f>
        <v>1683900.5299200006</v>
      </c>
      <c r="G36" s="17">
        <f>'A 05'!E43</f>
        <v>648783.49939200014</v>
      </c>
      <c r="H36" s="17">
        <f>'A 06'!E43</f>
        <v>517077.1872000001</v>
      </c>
      <c r="I36" s="17">
        <f>'A 07'!E38</f>
        <v>1661563.1692800005</v>
      </c>
      <c r="J36" s="17">
        <f>'A 08'!E43</f>
        <v>2831166.9993600007</v>
      </c>
      <c r="K36" s="17">
        <f>'A 09'!E43</f>
        <v>1139649.3360000004</v>
      </c>
      <c r="L36" s="17">
        <f>'A 10'!E43</f>
        <v>1374355.1808000002</v>
      </c>
      <c r="M36" s="17">
        <f>'A 11'!E44</f>
        <v>587640.81600000011</v>
      </c>
      <c r="N36" s="84">
        <f>'A 12'!E45</f>
        <v>2251680.7219200009</v>
      </c>
      <c r="O36" s="84">
        <f>'B 01'!E38</f>
        <v>1251546.4281600001</v>
      </c>
      <c r="P36" s="84">
        <f>'B 02'!E38</f>
        <v>5187302.9208000004</v>
      </c>
      <c r="Q36" s="84">
        <f>'B 03'!E37</f>
        <v>5201120.3073984003</v>
      </c>
      <c r="R36" s="8">
        <f>'B 04'!E37</f>
        <v>3836838.902400001</v>
      </c>
      <c r="S36" s="8">
        <f>'B 05'!E37</f>
        <v>3897355.3920000009</v>
      </c>
      <c r="T36" s="84">
        <f>'B 06'!E37</f>
        <v>3120965.7478272002</v>
      </c>
      <c r="U36" s="84">
        <f>'C 01'!E37</f>
        <v>9018057.9299328029</v>
      </c>
      <c r="V36" s="84">
        <f>'C 02'!E37</f>
        <v>9868300.1222400013</v>
      </c>
      <c r="W36" s="84">
        <f>'C 03'!E41</f>
        <v>5362452.5955840014</v>
      </c>
      <c r="X36" s="84">
        <f>'D 01'!E39</f>
        <v>786433.97952000017</v>
      </c>
      <c r="Y36" s="84">
        <f>'D 02'!E37</f>
        <v>777828.02065920015</v>
      </c>
      <c r="Z36" s="84">
        <f>'D 03'!E43</f>
        <v>2944279.0944000003</v>
      </c>
      <c r="AA36" s="84">
        <f>'D 04'!E37</f>
        <v>9263102.5146240015</v>
      </c>
      <c r="AB36" s="84">
        <f>'E 01'!E38</f>
        <v>256392.47793600004</v>
      </c>
      <c r="AC36" s="84">
        <f>'E 02'!E37</f>
        <v>837300.54240000027</v>
      </c>
      <c r="AD36" s="84">
        <f>'E 03'!E37</f>
        <v>993848.99040000024</v>
      </c>
      <c r="AE36" s="84">
        <f>'F 01'!E42</f>
        <v>8121593.2896000016</v>
      </c>
      <c r="AF36" s="84">
        <f>'F 02'!E42</f>
        <v>7964256.2580000022</v>
      </c>
      <c r="AG36" s="84">
        <f>'F 03'!E37</f>
        <v>295467.67152000009</v>
      </c>
      <c r="AH36" s="84">
        <f>'F 04'!E38</f>
        <v>295047.09360000008</v>
      </c>
    </row>
    <row r="37" spans="1:34" x14ac:dyDescent="0.2">
      <c r="A37" t="str">
        <f>'A 02'!B39</f>
        <v>VENTAS Y MERCADOTECNIA</v>
      </c>
      <c r="B37" s="81"/>
      <c r="C37" s="119">
        <f>'A 01'!E47</f>
        <v>0</v>
      </c>
      <c r="D37" s="84">
        <f>'A 02'!E39</f>
        <v>4574051.9135999996</v>
      </c>
      <c r="E37" s="84">
        <f>'A 03'!E45</f>
        <v>514401.84432000009</v>
      </c>
      <c r="F37" s="84">
        <f>'A 04'!E44</f>
        <v>1563621.9206400004</v>
      </c>
      <c r="G37" s="17">
        <f>'A 05'!E44</f>
        <v>602441.82086400012</v>
      </c>
      <c r="H37" s="17">
        <f>'A 06'!E44</f>
        <v>480143.10240000009</v>
      </c>
      <c r="I37" s="17">
        <f>'A 07'!E39</f>
        <v>1542880.0857600004</v>
      </c>
      <c r="J37" s="17">
        <f>'A 08'!E44</f>
        <v>2628940.7851200006</v>
      </c>
      <c r="K37" s="17">
        <f>'A 09'!E44</f>
        <v>1058245.8120000004</v>
      </c>
      <c r="L37" s="17">
        <f>'A 10'!E44</f>
        <v>1276186.9536000001</v>
      </c>
      <c r="M37" s="17">
        <f>'A 11'!E45</f>
        <v>545666.47200000007</v>
      </c>
      <c r="N37" s="84">
        <f>'A 12'!E46</f>
        <v>2090846.3846400005</v>
      </c>
      <c r="O37" s="84">
        <f>'B 01'!E39</f>
        <v>1162150.2547200001</v>
      </c>
      <c r="P37" s="84">
        <f>'B 02'!E39</f>
        <v>4816781.2835999997</v>
      </c>
      <c r="Q37" s="84">
        <f>'B 03'!E38</f>
        <v>4829611.7140127998</v>
      </c>
      <c r="R37" s="8">
        <f>'B 04'!E38</f>
        <v>3562778.9808000005</v>
      </c>
      <c r="S37" s="8">
        <f>'B 05'!E38</f>
        <v>3618972.8640000005</v>
      </c>
      <c r="T37" s="84">
        <f>'B 06'!E38</f>
        <v>2898039.6229824</v>
      </c>
      <c r="U37" s="84">
        <f>'C 01'!E38</f>
        <v>8373910.9349376019</v>
      </c>
      <c r="V37" s="84">
        <f>'C 02'!E38</f>
        <v>9163421.54208</v>
      </c>
      <c r="W37" s="84">
        <f>'C 03'!E42</f>
        <v>4979420.2673280006</v>
      </c>
      <c r="X37" s="84">
        <f>'D 01'!E40</f>
        <v>730260.12384000013</v>
      </c>
      <c r="Y37" s="84">
        <f>'D 02'!E38</f>
        <v>722268.87632640009</v>
      </c>
      <c r="Z37" s="84">
        <f>'D 03'!E44</f>
        <v>2733973.4448000002</v>
      </c>
      <c r="AA37" s="84">
        <f>'D 04'!E38</f>
        <v>8601452.335008001</v>
      </c>
      <c r="AB37" s="84">
        <f>'E 01'!E39</f>
        <v>238078.72951200002</v>
      </c>
      <c r="AC37" s="84">
        <f>'E 02'!E38</f>
        <v>777493.36080000014</v>
      </c>
      <c r="AD37" s="84">
        <f>'E 03'!E38</f>
        <v>922859.77680000023</v>
      </c>
      <c r="AE37" s="84">
        <f>'F 01'!E43</f>
        <v>7541479.4832000015</v>
      </c>
      <c r="AF37" s="84">
        <f>'F 02'!E43</f>
        <v>7395380.8110000016</v>
      </c>
      <c r="AG37" s="84">
        <f>'F 03'!E38</f>
        <v>274362.83784000005</v>
      </c>
      <c r="AH37" s="84">
        <f>'F 04'!E39</f>
        <v>273972.30120000005</v>
      </c>
    </row>
    <row r="38" spans="1:34" x14ac:dyDescent="0.2">
      <c r="A38" t="str">
        <f>'A 02'!B40</f>
        <v>UTILIDAD DEL DESARROLLADOR ó INVERSIONISTAS</v>
      </c>
      <c r="B38" s="81"/>
      <c r="C38" s="119">
        <f>'A 01'!E48</f>
        <v>0</v>
      </c>
      <c r="D38" s="84">
        <f>'A 02'!E40</f>
        <v>10555504.415999999</v>
      </c>
      <c r="E38" s="84">
        <f>'A 03'!E46</f>
        <v>1187081.1792000001</v>
      </c>
      <c r="F38" s="84">
        <f>'A 04'!E45</f>
        <v>3608358.2784000007</v>
      </c>
      <c r="G38" s="17">
        <f>'A 05'!E45</f>
        <v>1390250.3558400001</v>
      </c>
      <c r="H38" s="17">
        <f>'A 06'!E45</f>
        <v>1108022.544</v>
      </c>
      <c r="I38" s="17">
        <f>'A 07'!E40</f>
        <v>3560492.5056000003</v>
      </c>
      <c r="J38" s="17">
        <f>'A 08'!E45</f>
        <v>6066786.4272000007</v>
      </c>
      <c r="K38" s="17">
        <f>'A 09'!E45</f>
        <v>2442105.7200000007</v>
      </c>
      <c r="L38" s="17">
        <f>'A 10'!E45</f>
        <v>2945046.8160000001</v>
      </c>
      <c r="M38" s="17">
        <f>'A 11'!E46</f>
        <v>1259230.32</v>
      </c>
      <c r="N38" s="84">
        <f>'A 12'!E47</f>
        <v>4825030.118400001</v>
      </c>
      <c r="O38" s="84">
        <f>'B 01'!E40</f>
        <v>2681885.2031999999</v>
      </c>
      <c r="P38" s="84">
        <f>'B 02'!E40</f>
        <v>11115649.115999999</v>
      </c>
      <c r="Q38" s="84">
        <f>'B 03'!E39</f>
        <v>11145257.801568</v>
      </c>
      <c r="R38" s="8">
        <f>'B 04'!E39</f>
        <v>8221797.648000001</v>
      </c>
      <c r="S38" s="8">
        <f>'B 05'!E39</f>
        <v>8351475.8400000008</v>
      </c>
      <c r="T38" s="84">
        <f>'B 06'!E39</f>
        <v>6687783.7453439999</v>
      </c>
      <c r="U38" s="84">
        <f>'C 01'!E39</f>
        <v>19324409.849856004</v>
      </c>
      <c r="V38" s="84">
        <f>'C 02'!E39</f>
        <v>21146357.404800002</v>
      </c>
      <c r="W38" s="84">
        <f>'C 03'!E43</f>
        <v>11490969.847680001</v>
      </c>
      <c r="X38" s="84">
        <f>'D 01'!E41</f>
        <v>1685215.6704000002</v>
      </c>
      <c r="Y38" s="84">
        <f>'D 02'!E39</f>
        <v>1666774.3299840002</v>
      </c>
      <c r="Z38" s="84">
        <f>'D 03'!E45</f>
        <v>6309169.4879999999</v>
      </c>
      <c r="AA38" s="84">
        <f>'D 04'!E39</f>
        <v>19849505.38848</v>
      </c>
      <c r="AB38" s="84">
        <f>'E 01'!E40</f>
        <v>549412.45272000006</v>
      </c>
      <c r="AC38" s="84">
        <f>'E 02'!E39</f>
        <v>1794215.4480000003</v>
      </c>
      <c r="AD38" s="84">
        <f>'E 03'!E39</f>
        <v>2129676.4080000003</v>
      </c>
      <c r="AE38" s="84">
        <f>'F 01'!E44</f>
        <v>17403414.192000002</v>
      </c>
      <c r="AF38" s="84">
        <f>'F 02'!E44</f>
        <v>17066263.410000004</v>
      </c>
      <c r="AG38" s="84">
        <f>'F 03'!E39</f>
        <v>633145.01040000003</v>
      </c>
      <c r="AH38" s="84">
        <f>'F 04'!E40</f>
        <v>632243.772</v>
      </c>
    </row>
    <row r="39" spans="1:34" x14ac:dyDescent="0.2">
      <c r="B39" s="81"/>
      <c r="C39" s="119"/>
      <c r="D39" s="84"/>
      <c r="E39" s="84"/>
      <c r="F39" s="84"/>
      <c r="G39" s="17"/>
      <c r="H39" s="17"/>
      <c r="I39" s="17"/>
      <c r="J39" s="17"/>
      <c r="K39" s="17"/>
      <c r="L39" s="17"/>
      <c r="M39" s="17"/>
      <c r="N39" s="84">
        <f>'A 12'!E48</f>
        <v>0</v>
      </c>
      <c r="O39" s="84">
        <f>'B 01'!E41</f>
        <v>0</v>
      </c>
      <c r="P39" s="84">
        <f>'B 02'!E41</f>
        <v>0</v>
      </c>
      <c r="Q39" s="84"/>
      <c r="R39" s="8"/>
      <c r="S39" s="8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</row>
    <row r="40" spans="1:34" x14ac:dyDescent="0.2">
      <c r="A40" t="str">
        <f>'A 02'!B42</f>
        <v>COSTOS TOTALES</v>
      </c>
      <c r="B40" s="81"/>
      <c r="C40" s="119">
        <f>'A 01'!E50</f>
        <v>4298489.6883199997</v>
      </c>
      <c r="D40" s="84">
        <f>'A 02'!E42</f>
        <v>104624115.42791</v>
      </c>
      <c r="E40" s="84">
        <f>'A 03'!E48</f>
        <v>15443552.419039998</v>
      </c>
      <c r="F40" s="84">
        <f>'A 04'!E47</f>
        <v>43545334.021760009</v>
      </c>
      <c r="G40" s="17">
        <f>'A 05'!E47</f>
        <v>16404871.926464001</v>
      </c>
      <c r="H40" s="17">
        <f>'A 06'!E47</f>
        <v>13434118.838719999</v>
      </c>
      <c r="I40" s="17">
        <f>'A 07'!E42</f>
        <v>38851857.043269999</v>
      </c>
      <c r="J40" s="17">
        <f>'A 08'!E47</f>
        <v>62944870.175840005</v>
      </c>
      <c r="K40" s="17">
        <f>'A 09'!E47</f>
        <v>34620626.193879999</v>
      </c>
      <c r="L40" s="17">
        <f>'A 10'!E47</f>
        <v>39187050.167479999</v>
      </c>
      <c r="M40" s="17">
        <f>'A 11'!E48</f>
        <v>17548821.154309999</v>
      </c>
      <c r="N40" s="84">
        <f>'A 12'!E49</f>
        <v>48548887.765760012</v>
      </c>
      <c r="O40" s="84">
        <f>'B 01'!E42</f>
        <v>28519949.037440002</v>
      </c>
      <c r="P40" s="84">
        <f>'B 02'!E42</f>
        <v>114666591.09748</v>
      </c>
      <c r="Q40" s="84">
        <f>'B 03'!E41</f>
        <v>138635310.13614878</v>
      </c>
      <c r="R40" s="8">
        <f>'B 04'!E41</f>
        <v>84730283.839110017</v>
      </c>
      <c r="S40" s="8">
        <f>'B 05'!E41</f>
        <v>85807055.386310026</v>
      </c>
      <c r="T40" s="84">
        <f>'B 06'!E41</f>
        <v>72739296.224510401</v>
      </c>
      <c r="U40" s="84">
        <f>'C 01'!E41</f>
        <v>199106593.77556962</v>
      </c>
      <c r="V40" s="84">
        <f>'C 02'!E41</f>
        <v>281190806.23298001</v>
      </c>
      <c r="W40" s="84">
        <f>'C 03'!E45</f>
        <v>119033289.75576802</v>
      </c>
      <c r="X40" s="84">
        <f>'D 01'!E43</f>
        <v>18375036.995860003</v>
      </c>
      <c r="Y40" s="84">
        <f>'D 02'!E41</f>
        <v>23421606.645164404</v>
      </c>
      <c r="Z40" s="84">
        <f>'D 03'!E47</f>
        <v>61537524.029120006</v>
      </c>
      <c r="AA40" s="84">
        <f>'D 04'!E41</f>
        <v>253030242.88446802</v>
      </c>
      <c r="AB40" s="84">
        <f>'E 01'!E42</f>
        <v>7678376.6839720001</v>
      </c>
      <c r="AC40" s="84">
        <f>'E 02'!E41</f>
        <v>19418484.972020004</v>
      </c>
      <c r="AD40" s="84">
        <f>'E 03'!E41</f>
        <v>39015519.454680003</v>
      </c>
      <c r="AE40" s="84">
        <f>'F 01'!E46</f>
        <v>175059633.28908005</v>
      </c>
      <c r="AF40" s="84">
        <f>'F 02'!E46</f>
        <v>184244461.17288002</v>
      </c>
      <c r="AG40" s="84">
        <f>'F 03'!E41</f>
        <v>9783533.2829600014</v>
      </c>
      <c r="AH40" s="84">
        <f>'F 04'!E43</f>
        <v>9533844.0135200005</v>
      </c>
    </row>
    <row r="41" spans="1:34" x14ac:dyDescent="0.2">
      <c r="B41" s="81"/>
      <c r="C41" s="81"/>
      <c r="U41" s="84"/>
      <c r="AG41" s="84"/>
      <c r="AH41" s="84"/>
    </row>
    <row r="42" spans="1:34" x14ac:dyDescent="0.2">
      <c r="A42" s="50" t="str">
        <f>'A 02'!B63</f>
        <v>PRECIO POR M2 VENDIBLE</v>
      </c>
      <c r="B42" s="99"/>
      <c r="C42" s="120">
        <f>'A 01'!E69</f>
        <v>15351.748886857142</v>
      </c>
      <c r="D42" s="96">
        <f>'A 02'!E63</f>
        <v>29892.604407974286</v>
      </c>
      <c r="E42" s="96">
        <f>'A 03'!E67</f>
        <v>39598.852356512813</v>
      </c>
      <c r="F42" s="96">
        <f>'A 04'!E66</f>
        <v>36287.778351466673</v>
      </c>
      <c r="G42" s="97">
        <f>'A 05'!E66</f>
        <v>38150.864945265115</v>
      </c>
      <c r="H42" s="97">
        <f>'A 06'!E66</f>
        <v>38383.19668205714</v>
      </c>
      <c r="I42" s="97">
        <f>'A 07'!E61</f>
        <v>34689.158074348212</v>
      </c>
      <c r="J42" s="97">
        <f>'A 08'!E66</f>
        <v>31007.3252097734</v>
      </c>
      <c r="K42" s="97">
        <f>'A 09'!E66</f>
        <v>42220.275846195123</v>
      </c>
      <c r="L42" s="97">
        <f>'A 10'!E66</f>
        <v>39582.878957050503</v>
      </c>
      <c r="M42" s="97">
        <f>'A 11'!E67</f>
        <v>42802.002815390239</v>
      </c>
      <c r="N42" s="96">
        <f>'A 12'!E68</f>
        <v>30343.054853600006</v>
      </c>
      <c r="O42" s="96">
        <f>'B 01'!E61</f>
        <v>31688.832263822223</v>
      </c>
      <c r="P42" s="96">
        <f>'B 02'!E61</f>
        <v>30335.077009915345</v>
      </c>
      <c r="Q42" s="96">
        <f>'B 03'!E60</f>
        <v>36676.007972526131</v>
      </c>
      <c r="R42" s="96">
        <f>'B 04'!E60</f>
        <v>30260.815656825005</v>
      </c>
      <c r="S42" s="96">
        <f>'B 05'!E60</f>
        <v>30645.376923682154</v>
      </c>
      <c r="T42" s="96">
        <f>'B 06'!E60</f>
        <v>33675.60010394</v>
      </c>
      <c r="U42" s="96">
        <f>'C 01'!E60</f>
        <v>30259.360756165595</v>
      </c>
      <c r="V42" s="96">
        <f>'C 02'!E60</f>
        <v>39054.278643469443</v>
      </c>
      <c r="W42" s="96">
        <f>'C 03'!E64</f>
        <v>30599.817417935221</v>
      </c>
      <c r="X42" s="96">
        <f>'D 01'!E62</f>
        <v>32812.566064035716</v>
      </c>
      <c r="Y42" s="96">
        <f>'D 02'!E60</f>
        <v>41824.297580650724</v>
      </c>
      <c r="Z42" s="96">
        <f>'D 03'!E66</f>
        <v>29303.582871009527</v>
      </c>
      <c r="AA42" s="96">
        <f>'D 04'!E60</f>
        <v>37485.961908810074</v>
      </c>
      <c r="AB42" s="96">
        <f>'E 01'!E60</f>
        <v>42657.648244288888</v>
      </c>
      <c r="AC42" s="96">
        <f>'E 02'!E59</f>
        <v>32364.141620033341</v>
      </c>
      <c r="AD42" s="96">
        <f>'E 03'!E59</f>
        <v>54188.221464833339</v>
      </c>
      <c r="AE42" s="96">
        <f>'F 01'!E64</f>
        <v>29671.124286284754</v>
      </c>
      <c r="AF42" s="96">
        <f>'F 02'!E64</f>
        <v>31876.204355169553</v>
      </c>
      <c r="AG42" s="96">
        <f>'F 03'!E59</f>
        <v>46588.253728380958</v>
      </c>
      <c r="AH42" s="96">
        <f>'F 04'!E62</f>
        <v>45399.257207238101</v>
      </c>
    </row>
    <row r="43" spans="1:34" x14ac:dyDescent="0.2">
      <c r="A43" s="40" t="str">
        <f>'A 02'!B64</f>
        <v>PRECIO VIVIENDAS DE 90 m2</v>
      </c>
      <c r="B43" s="100"/>
      <c r="C43" s="121">
        <f>'A 01'!E70</f>
        <v>0</v>
      </c>
      <c r="D43" s="121">
        <f>'A 02'!E64</f>
        <v>0</v>
      </c>
      <c r="E43" s="121">
        <f>'A 03'!E68</f>
        <v>0</v>
      </c>
      <c r="F43" s="121">
        <f>'A 04'!E67</f>
        <v>3265900.0516320006</v>
      </c>
      <c r="G43" s="121">
        <f>'A 05'!E67</f>
        <v>0</v>
      </c>
      <c r="H43" s="121">
        <f>'A 06'!E67</f>
        <v>0</v>
      </c>
      <c r="I43" s="121">
        <f>'A 07'!E62</f>
        <v>0</v>
      </c>
      <c r="J43" s="121"/>
      <c r="K43" s="121">
        <f>'A 09'!E67</f>
        <v>3799824.826157561</v>
      </c>
      <c r="L43" s="121">
        <f>'A 10'!E67</f>
        <v>3562459.1061345451</v>
      </c>
      <c r="M43" s="121">
        <f>'A 11'!E68</f>
        <v>0</v>
      </c>
      <c r="N43" s="121">
        <f>'A 12'!E69</f>
        <v>0</v>
      </c>
      <c r="O43" s="121">
        <f>'B 01'!E62</f>
        <v>0</v>
      </c>
      <c r="P43" s="121">
        <f>'B 02'!E62</f>
        <v>0</v>
      </c>
      <c r="Q43" s="121">
        <f>'B 03'!E61</f>
        <v>0</v>
      </c>
      <c r="R43" s="121">
        <f>'B 04'!E61</f>
        <v>0</v>
      </c>
      <c r="S43" s="121">
        <f>'B 05'!E61</f>
        <v>0</v>
      </c>
      <c r="T43" s="121">
        <f>'B 06'!E61</f>
        <v>3030804.0093545998</v>
      </c>
      <c r="U43" s="121">
        <f>'C 01'!E61</f>
        <v>0</v>
      </c>
      <c r="V43" s="121">
        <f>'C 02'!E61</f>
        <v>0</v>
      </c>
      <c r="W43" s="121">
        <f>'C 03'!E65</f>
        <v>0</v>
      </c>
      <c r="X43" s="121">
        <f>'D 01'!E63</f>
        <v>0</v>
      </c>
      <c r="Y43" s="121">
        <f>'D 02'!E61</f>
        <v>0</v>
      </c>
      <c r="Z43" s="121">
        <f>'D 03'!E67</f>
        <v>0</v>
      </c>
      <c r="AA43" s="121">
        <f>'D 04'!E61</f>
        <v>0</v>
      </c>
      <c r="AB43" s="121">
        <f>'E 01'!E61</f>
        <v>0</v>
      </c>
      <c r="AC43" s="121">
        <f>'E 02'!E60</f>
        <v>0</v>
      </c>
      <c r="AD43" s="121">
        <f>'E 03'!E60</f>
        <v>0</v>
      </c>
      <c r="AE43" s="121">
        <f>'F 01'!E65</f>
        <v>0</v>
      </c>
      <c r="AF43" s="121">
        <f>'F 02'!E65</f>
        <v>0</v>
      </c>
      <c r="AG43" s="121">
        <f>'F 03'!E60</f>
        <v>0</v>
      </c>
      <c r="AH43" s="121">
        <f>'F 04'!E63</f>
        <v>0</v>
      </c>
    </row>
    <row r="44" spans="1:34" x14ac:dyDescent="0.2">
      <c r="A44" s="40" t="str">
        <f>'A 02'!B65</f>
        <v>PRECIO VIVIENDAS DE 70 m2</v>
      </c>
      <c r="B44" s="100"/>
      <c r="C44" s="121">
        <f>'A 01'!E71</f>
        <v>1074622.4220799999</v>
      </c>
      <c r="D44" s="121">
        <f>'A 02'!E65</f>
        <v>2092482.3085582</v>
      </c>
      <c r="E44" s="121">
        <f>'A 03'!E69</f>
        <v>3563896.7120861532</v>
      </c>
      <c r="F44" s="121">
        <f>'A 04'!E68</f>
        <v>2540144.4846026669</v>
      </c>
      <c r="G44" s="121">
        <f>'A 05'!E68</f>
        <v>2670560.5461685583</v>
      </c>
      <c r="H44" s="121">
        <f>'A 06'!E68</f>
        <v>2686823.7677439996</v>
      </c>
      <c r="I44" s="121">
        <f>'A 07'!E63</f>
        <v>2428241.065204375</v>
      </c>
      <c r="J44" s="121">
        <f>'A 08'!E68</f>
        <v>2170512.7646841379</v>
      </c>
      <c r="K44" s="121">
        <f>'A 09'!E68</f>
        <v>0</v>
      </c>
      <c r="L44" s="121">
        <f>'A 10'!E68</f>
        <v>2770801.5269935355</v>
      </c>
      <c r="M44" s="121">
        <f>'A 11'!E69</f>
        <v>2996140.1970773167</v>
      </c>
      <c r="N44" s="121">
        <f>'A 12'!E70</f>
        <v>2124013.8397520003</v>
      </c>
      <c r="O44" s="121">
        <f>'B 01'!E63</f>
        <v>0</v>
      </c>
      <c r="P44" s="121">
        <f>'B 02'!E63</f>
        <v>2123455.3906940743</v>
      </c>
      <c r="Q44" s="121">
        <f>'B 03'!E62</f>
        <v>2567320.5580768292</v>
      </c>
      <c r="R44" s="121">
        <f>'B 04'!E62</f>
        <v>2118257.0959777501</v>
      </c>
      <c r="S44" s="121">
        <f>'B 05'!E62</f>
        <v>2145176.3846577508</v>
      </c>
      <c r="T44" s="121">
        <f>'B 06'!E62</f>
        <v>2357292.0072758002</v>
      </c>
      <c r="U44" s="121">
        <f>'C 01'!E62</f>
        <v>2118155.2529315916</v>
      </c>
      <c r="V44" s="121">
        <f>'C 02'!E62</f>
        <v>2733799.5050428612</v>
      </c>
      <c r="W44" s="121">
        <f>'C 03'!E66</f>
        <v>2141987.2192554655</v>
      </c>
      <c r="X44" s="121">
        <f>'D 01'!E64</f>
        <v>2296879.6244825004</v>
      </c>
      <c r="Y44" s="121">
        <f>'D 02'!E62</f>
        <v>0</v>
      </c>
      <c r="Z44" s="121">
        <f>'D 03'!E68</f>
        <v>2051250.8009706668</v>
      </c>
      <c r="AA44" s="121">
        <f>'D 04'!E62</f>
        <v>2624017.3336167051</v>
      </c>
      <c r="AB44" s="121">
        <f>'E 01'!E62</f>
        <v>0</v>
      </c>
      <c r="AC44" s="121">
        <f>'E 02'!E61</f>
        <v>2265489.9134023339</v>
      </c>
      <c r="AD44" s="121">
        <f>'E 03'!E61</f>
        <v>0</v>
      </c>
      <c r="AE44" s="121">
        <f>'F 01'!E66</f>
        <v>2076978.7000399327</v>
      </c>
      <c r="AF44" s="121">
        <f>'F 02'!E66</f>
        <v>2231334.3048618687</v>
      </c>
      <c r="AG44" s="121">
        <f>'F 03'!E61</f>
        <v>3261177.7609866671</v>
      </c>
      <c r="AH44" s="121">
        <f>'F 04'!E64</f>
        <v>3177948.0045066671</v>
      </c>
    </row>
    <row r="45" spans="1:34" x14ac:dyDescent="0.2">
      <c r="A45" s="40" t="str">
        <f>'A 02'!B66</f>
        <v>PRECIO VIVIENDAS DE 60 m2</v>
      </c>
      <c r="B45" s="100"/>
      <c r="C45" s="121"/>
      <c r="D45" s="121">
        <f>'A 02'!E66</f>
        <v>0</v>
      </c>
      <c r="E45" s="121">
        <f>'A 03'!E70</f>
        <v>2375931.1413907688</v>
      </c>
      <c r="F45" s="121">
        <f>'A 04'!E69</f>
        <v>0</v>
      </c>
      <c r="G45" s="121">
        <f>'A 05'!E69</f>
        <v>2289051.8967159069</v>
      </c>
      <c r="H45" s="121">
        <f>'A 06'!E69</f>
        <v>0</v>
      </c>
      <c r="I45" s="121">
        <f>'A 07'!E64</f>
        <v>0</v>
      </c>
      <c r="J45" s="121"/>
      <c r="K45" s="121">
        <f>'A 09'!E69</f>
        <v>2533216.5507717072</v>
      </c>
      <c r="L45" s="121">
        <f>'A 10'!E69</f>
        <v>0</v>
      </c>
      <c r="M45" s="121">
        <f>'A 11'!E70</f>
        <v>0</v>
      </c>
      <c r="N45" s="121">
        <f>'A 12'!E71</f>
        <v>1820583.2912160004</v>
      </c>
      <c r="O45" s="121">
        <f>'B 01'!E64</f>
        <v>2851994.903744</v>
      </c>
      <c r="P45" s="121">
        <f>'B 02'!E64</f>
        <v>0</v>
      </c>
      <c r="Q45" s="121">
        <f>'B 03'!E63</f>
        <v>0</v>
      </c>
      <c r="R45" s="121">
        <f>'B 04'!E63</f>
        <v>0</v>
      </c>
      <c r="S45" s="121">
        <f>'B 05'!E63</f>
        <v>0</v>
      </c>
      <c r="T45" s="121">
        <f>'B 06'!E63</f>
        <v>0</v>
      </c>
      <c r="U45" s="121">
        <f>'C 01'!E63</f>
        <v>2723342.4680549037</v>
      </c>
      <c r="V45" s="121">
        <f>'C 02'!E63</f>
        <v>3514885.0779122496</v>
      </c>
      <c r="W45" s="121">
        <f>'C 03'!E67</f>
        <v>1835989.0450761132</v>
      </c>
      <c r="X45" s="121">
        <f>'D 01'!E65</f>
        <v>0</v>
      </c>
      <c r="Y45" s="121">
        <f>'D 02'!E63</f>
        <v>3764186.7822585651</v>
      </c>
      <c r="Z45" s="121">
        <f>'D 03'!E69</f>
        <v>1758214.9722605716</v>
      </c>
      <c r="AA45" s="121">
        <f>'D 04'!E63</f>
        <v>2249157.7145286044</v>
      </c>
      <c r="AB45" s="121">
        <f>'E 01'!E63</f>
        <v>3839188.3419860001</v>
      </c>
      <c r="AC45" s="121">
        <f>'E 02'!E62</f>
        <v>2912772.7458030009</v>
      </c>
      <c r="AD45" s="121">
        <f>'E 03'!E62</f>
        <v>4876939.9318350004</v>
      </c>
      <c r="AE45" s="88">
        <f>'F 01'!E67</f>
        <v>1780267.4571770853</v>
      </c>
      <c r="AF45" s="88">
        <f>'F 02'!E67</f>
        <v>1912572.2613101732</v>
      </c>
      <c r="AG45" s="121">
        <f>'F 03'!E62</f>
        <v>0</v>
      </c>
      <c r="AH45" s="121">
        <f>'F 04'!E65</f>
        <v>0</v>
      </c>
    </row>
    <row r="46" spans="1:34" x14ac:dyDescent="0.2"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G46" s="84"/>
      <c r="AH46" s="84"/>
    </row>
    <row r="47" spans="1:34" x14ac:dyDescent="0.2">
      <c r="A47" s="47" t="s">
        <v>235</v>
      </c>
      <c r="B47" s="47"/>
      <c r="C47" s="98">
        <f t="shared" ref="C47:AF47" si="6">C32/C11</f>
        <v>40325.077399380803</v>
      </c>
      <c r="D47" s="98">
        <f t="shared" si="6"/>
        <v>15036.231884057972</v>
      </c>
      <c r="E47" s="98">
        <f t="shared" si="6"/>
        <v>31757.233592095981</v>
      </c>
      <c r="F47" s="98">
        <f t="shared" si="6"/>
        <v>32488.262910798123</v>
      </c>
      <c r="G47" s="98">
        <f t="shared" si="6"/>
        <v>19290.900418676134</v>
      </c>
      <c r="H47" s="98">
        <f t="shared" si="6"/>
        <v>22108.843537414967</v>
      </c>
      <c r="I47" s="98">
        <f t="shared" si="6"/>
        <v>23946.360153256705</v>
      </c>
      <c r="J47" s="98">
        <f t="shared" si="6"/>
        <v>19893.899204244033</v>
      </c>
      <c r="K47" s="98">
        <f t="shared" si="6"/>
        <v>45801.526717557252</v>
      </c>
      <c r="L47" s="98">
        <f t="shared" si="6"/>
        <v>40370.370370370372</v>
      </c>
      <c r="M47" s="98">
        <f t="shared" si="6"/>
        <v>39864.864864864867</v>
      </c>
      <c r="N47" s="98">
        <f t="shared" si="6"/>
        <v>11056.511056511057</v>
      </c>
      <c r="O47" s="98">
        <f t="shared" si="6"/>
        <v>24629.629629629631</v>
      </c>
      <c r="P47" s="98">
        <f t="shared" si="6"/>
        <v>14533.333333333334</v>
      </c>
      <c r="Q47" s="98">
        <f t="shared" si="6"/>
        <v>38934.071638691814</v>
      </c>
      <c r="R47" s="98">
        <f t="shared" si="6"/>
        <v>24365.482233502538</v>
      </c>
      <c r="S47" s="98">
        <f t="shared" si="6"/>
        <v>24050.632911392404</v>
      </c>
      <c r="T47" s="98">
        <f t="shared" si="6"/>
        <v>15361.59867489514</v>
      </c>
      <c r="U47" s="98">
        <f t="shared" si="6"/>
        <v>19630.767083129755</v>
      </c>
      <c r="V47" s="98">
        <f t="shared" si="6"/>
        <v>68005.547850208051</v>
      </c>
      <c r="W47" s="98">
        <f t="shared" si="6"/>
        <v>12082.71481340836</v>
      </c>
      <c r="X47" s="98">
        <f t="shared" si="6"/>
        <v>23790.322580645163</v>
      </c>
      <c r="Y47" s="98">
        <f t="shared" si="6"/>
        <v>71072.984265268024</v>
      </c>
      <c r="Z47" s="98">
        <f t="shared" si="6"/>
        <v>6735.1578947368425</v>
      </c>
      <c r="AA47" s="98">
        <f t="shared" si="6"/>
        <v>37017.842600133263</v>
      </c>
      <c r="AB47" s="98">
        <f t="shared" si="6"/>
        <v>22823.024929775282</v>
      </c>
      <c r="AC47" s="98">
        <f t="shared" si="6"/>
        <v>10909.09090909091</v>
      </c>
      <c r="AD47" s="98">
        <f t="shared" si="6"/>
        <v>76000</v>
      </c>
      <c r="AE47" s="98">
        <f t="shared" si="6"/>
        <v>9500</v>
      </c>
      <c r="AF47" s="98">
        <f t="shared" si="6"/>
        <v>16519.174041297934</v>
      </c>
      <c r="AG47" s="98">
        <f t="shared" ref="AG47:AH47" si="7">AG32/AG11</f>
        <v>31707.317073170732</v>
      </c>
      <c r="AH47" s="98">
        <f t="shared" si="7"/>
        <v>29564.516129032258</v>
      </c>
    </row>
    <row r="50" spans="1:4" x14ac:dyDescent="0.2">
      <c r="A50" t="s">
        <v>262</v>
      </c>
      <c r="C50" s="84">
        <f>'A 01'!G70</f>
        <v>1020000</v>
      </c>
      <c r="D50" s="84"/>
    </row>
    <row r="51" spans="1:4" x14ac:dyDescent="0.2">
      <c r="A51" t="s">
        <v>261</v>
      </c>
      <c r="C51" s="84">
        <f>'A 01'!G71</f>
        <v>2040000</v>
      </c>
      <c r="D51" s="84"/>
    </row>
    <row r="52" spans="1:4" x14ac:dyDescent="0.2">
      <c r="D52" s="84"/>
    </row>
  </sheetData>
  <phoneticPr fontId="4" type="noConversion"/>
  <conditionalFormatting sqref="C43:C45">
    <cfRule type="cellIs" dxfId="8" priority="10" operator="between">
      <formula>10</formula>
      <formula>$C$51</formula>
    </cfRule>
    <cfRule type="cellIs" dxfId="7" priority="11" operator="between">
      <formula>1</formula>
      <formula>$C$51</formula>
    </cfRule>
  </conditionalFormatting>
  <conditionalFormatting sqref="C45:AD46">
    <cfRule type="cellIs" dxfId="6" priority="3" operator="between">
      <formula>10</formula>
      <formula>$C$51</formula>
    </cfRule>
    <cfRule type="cellIs" dxfId="5" priority="4" operator="between">
      <formula>1</formula>
      <formula>$C$51</formula>
    </cfRule>
  </conditionalFormatting>
  <conditionalFormatting sqref="C43:AH46">
    <cfRule type="cellIs" dxfId="4" priority="9" operator="between">
      <formula>10</formula>
      <formula>$C$51</formula>
    </cfRule>
  </conditionalFormatting>
  <conditionalFormatting sqref="D43:AH44">
    <cfRule type="cellIs" dxfId="3" priority="1" operator="between">
      <formula>10</formula>
      <formula>$C$51</formula>
    </cfRule>
    <cfRule type="cellIs" dxfId="2" priority="2" operator="between">
      <formula>1</formula>
      <formula>$C$51</formula>
    </cfRule>
  </conditionalFormatting>
  <conditionalFormatting sqref="AG45:AH45">
    <cfRule type="cellIs" dxfId="1" priority="5" operator="between">
      <formula>10</formula>
      <formula>$C$51</formula>
    </cfRule>
    <cfRule type="cellIs" dxfId="0" priority="6" operator="between">
      <formula>1</formula>
      <formula>$C$51</formula>
    </cfRule>
  </conditionalFormatting>
  <pageMargins left="0.7" right="0.7" top="0.75" bottom="0.75" header="0.3" footer="0.3"/>
  <pageSetup scale="17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07E8-3667-4D3B-B559-E5808806A141}">
  <sheetPr>
    <tabColor theme="7" tint="0.79998168889431442"/>
  </sheetPr>
  <dimension ref="A1:M69"/>
  <sheetViews>
    <sheetView zoomScale="70" zoomScaleNormal="7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269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183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377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x14ac:dyDescent="0.2">
      <c r="B11" t="s">
        <v>116</v>
      </c>
      <c r="E11" s="2" t="s">
        <v>184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168</v>
      </c>
    </row>
    <row r="18" spans="1:8" ht="33" customHeight="1" x14ac:dyDescent="0.2">
      <c r="B18" s="142" t="s">
        <v>119</v>
      </c>
      <c r="C18" s="142"/>
      <c r="E18" s="11">
        <f>E5*E6</f>
        <v>301.60000000000002</v>
      </c>
      <c r="F18" t="s">
        <v>0</v>
      </c>
      <c r="G18" s="46"/>
    </row>
    <row r="19" spans="1:8" x14ac:dyDescent="0.2">
      <c r="B19" t="s">
        <v>94</v>
      </c>
      <c r="E19" s="40">
        <f>E5*(E7+E8)</f>
        <v>2412.8000000000002</v>
      </c>
      <c r="F19" t="s">
        <v>0</v>
      </c>
    </row>
    <row r="20" spans="1:8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</row>
    <row r="21" spans="1:8" x14ac:dyDescent="0.2">
      <c r="B21" t="s">
        <v>101</v>
      </c>
      <c r="E21">
        <f>E20*3</f>
        <v>24</v>
      </c>
      <c r="F21" t="s">
        <v>34</v>
      </c>
      <c r="G21" s="46"/>
      <c r="H21" t="s">
        <v>106</v>
      </c>
    </row>
    <row r="22" spans="1:8" ht="34" customHeight="1" x14ac:dyDescent="0.2">
      <c r="B22" s="131" t="s">
        <v>102</v>
      </c>
      <c r="C22" s="131"/>
      <c r="E22" s="11">
        <f>E18-(5*13)</f>
        <v>236.60000000000002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30.160000000000004</v>
      </c>
      <c r="F24" t="s">
        <v>0</v>
      </c>
      <c r="G24" s="5"/>
    </row>
    <row r="25" spans="1:8" ht="37.5" customHeight="1" x14ac:dyDescent="0.2">
      <c r="B25" s="143" t="s">
        <v>185</v>
      </c>
      <c r="C25" s="143"/>
      <c r="D25" s="111">
        <v>5</v>
      </c>
      <c r="E25" s="51">
        <f>E18-E24</f>
        <v>271.44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3.8777142857142857</v>
      </c>
      <c r="E26">
        <v>4</v>
      </c>
      <c r="F26">
        <f>E26*$D$25</f>
        <v>20</v>
      </c>
      <c r="G26" s="86">
        <f>F26+F30</f>
        <v>35</v>
      </c>
    </row>
    <row r="27" spans="1:8" x14ac:dyDescent="0.2">
      <c r="A27" s="137"/>
      <c r="B27" t="s">
        <v>124</v>
      </c>
      <c r="D27" s="11">
        <f>E25/90</f>
        <v>3.016</v>
      </c>
      <c r="E27" s="2"/>
      <c r="F27">
        <f t="shared" ref="F27:F28" si="0">E27*$D$25</f>
        <v>0</v>
      </c>
      <c r="G27" s="86">
        <f t="shared" ref="G27:G28" si="1">F27+F31</f>
        <v>0</v>
      </c>
    </row>
    <row r="28" spans="1:8" x14ac:dyDescent="0.2">
      <c r="A28" s="137"/>
      <c r="B28" t="s">
        <v>125</v>
      </c>
      <c r="D28" s="11">
        <f>E25/60</f>
        <v>4.524</v>
      </c>
      <c r="E28" s="2"/>
      <c r="F28">
        <f t="shared" si="0"/>
        <v>0</v>
      </c>
      <c r="G28" s="86">
        <f t="shared" si="1"/>
        <v>0</v>
      </c>
    </row>
    <row r="29" spans="1:8" ht="36" customHeight="1" x14ac:dyDescent="0.2">
      <c r="A29" s="137"/>
      <c r="B29" s="144" t="s">
        <v>186</v>
      </c>
      <c r="C29" s="144"/>
      <c r="D29" s="107">
        <v>3</v>
      </c>
      <c r="E29" s="73">
        <f>E22-E24</f>
        <v>206.44000000000003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2.9491428571428577</v>
      </c>
      <c r="E30">
        <v>3</v>
      </c>
      <c r="F30">
        <f>E30*$D$25</f>
        <v>15</v>
      </c>
    </row>
    <row r="31" spans="1:8" x14ac:dyDescent="0.2">
      <c r="B31" t="s">
        <v>124</v>
      </c>
      <c r="D31">
        <f>E29/90</f>
        <v>2.2937777777777781</v>
      </c>
      <c r="F31">
        <f t="shared" ref="F31:F32" si="2">E31*$D$25</f>
        <v>0</v>
      </c>
    </row>
    <row r="32" spans="1:8" x14ac:dyDescent="0.2">
      <c r="B32" t="s">
        <v>125</v>
      </c>
      <c r="D32">
        <f>E29/60</f>
        <v>3.440666666666667</v>
      </c>
      <c r="F32">
        <f t="shared" si="2"/>
        <v>0</v>
      </c>
    </row>
    <row r="34" spans="2:13" x14ac:dyDescent="0.2">
      <c r="B34" s="40" t="s">
        <v>123</v>
      </c>
      <c r="C34" s="40"/>
      <c r="D34" s="40"/>
      <c r="E34" s="56">
        <f>SUM(G26:G28)</f>
        <v>35</v>
      </c>
    </row>
    <row r="35" spans="2:13" x14ac:dyDescent="0.2">
      <c r="B35" t="s">
        <v>126</v>
      </c>
      <c r="D35" s="11">
        <f>E34*0.25</f>
        <v>8.75</v>
      </c>
      <c r="E35">
        <v>9</v>
      </c>
    </row>
    <row r="37" spans="2:13" x14ac:dyDescent="0.2">
      <c r="B37" s="16" t="s">
        <v>64</v>
      </c>
      <c r="C37" s="16"/>
      <c r="D37" s="16"/>
      <c r="E37" s="16"/>
      <c r="F37" s="16"/>
      <c r="G37" s="85"/>
    </row>
    <row r="38" spans="2:13" x14ac:dyDescent="0.2">
      <c r="G38" s="132" t="s">
        <v>104</v>
      </c>
    </row>
    <row r="39" spans="2:13" x14ac:dyDescent="0.2">
      <c r="B39" t="s">
        <v>28</v>
      </c>
      <c r="E39" s="62">
        <v>7500000</v>
      </c>
      <c r="G39" s="132"/>
    </row>
    <row r="40" spans="2:13" x14ac:dyDescent="0.2">
      <c r="B40" t="s">
        <v>107</v>
      </c>
      <c r="E40" s="8">
        <f>(E39-DATOS!L65)*DATOS!M65</f>
        <v>237113.68831999999</v>
      </c>
    </row>
    <row r="41" spans="2:13" x14ac:dyDescent="0.2">
      <c r="B41" t="s">
        <v>65</v>
      </c>
      <c r="E41" s="8">
        <f>G59*DATOS!H31</f>
        <v>40445242.848000005</v>
      </c>
      <c r="G41" s="46"/>
    </row>
    <row r="42" spans="2:13" x14ac:dyDescent="0.2">
      <c r="B42" t="s">
        <v>67</v>
      </c>
      <c r="E42" s="8">
        <f>E41*DATOS!B39</f>
        <v>3235619.4278400005</v>
      </c>
    </row>
    <row r="43" spans="2:13" x14ac:dyDescent="0.2">
      <c r="B43" t="s">
        <v>86</v>
      </c>
      <c r="E43" s="8">
        <f>E41*DATOS!B49</f>
        <v>2831166.9993600007</v>
      </c>
    </row>
    <row r="44" spans="2:13" x14ac:dyDescent="0.2">
      <c r="B44" t="s">
        <v>68</v>
      </c>
      <c r="E44" s="8">
        <f>E41*DATOS!B83</f>
        <v>2628940.7851200006</v>
      </c>
    </row>
    <row r="45" spans="2:13" x14ac:dyDescent="0.2">
      <c r="B45" t="s">
        <v>129</v>
      </c>
      <c r="E45" s="8">
        <f>E41*DATOS!B91</f>
        <v>6066786.4272000007</v>
      </c>
    </row>
    <row r="47" spans="2:13" x14ac:dyDescent="0.2">
      <c r="B47" s="54" t="s">
        <v>69</v>
      </c>
      <c r="C47" s="54"/>
      <c r="D47" s="54"/>
      <c r="E47" s="55">
        <f>SUM(E39:E45)</f>
        <v>62944870.175840005</v>
      </c>
    </row>
    <row r="48" spans="2:13" x14ac:dyDescent="0.2">
      <c r="M48" s="86"/>
    </row>
    <row r="49" spans="2:13" x14ac:dyDescent="0.2">
      <c r="B49" s="40"/>
      <c r="C49" s="40" t="s">
        <v>120</v>
      </c>
      <c r="M49" s="86"/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  <c r="M50" s="86"/>
    </row>
    <row r="51" spans="2:13" x14ac:dyDescent="0.2">
      <c r="B51" s="12" t="s">
        <v>49</v>
      </c>
      <c r="C51" s="12"/>
      <c r="D51" s="12"/>
      <c r="E51" s="44">
        <f>E35*13*1.3</f>
        <v>152.1</v>
      </c>
      <c r="I51" s="6"/>
      <c r="J51" s="6"/>
      <c r="K51" s="108"/>
      <c r="M51" s="86"/>
    </row>
    <row r="52" spans="2:13" x14ac:dyDescent="0.2">
      <c r="B52" s="12" t="s">
        <v>50</v>
      </c>
      <c r="C52" s="43">
        <f>($E$28*60)+($E$26*70)+($E$27*90)</f>
        <v>280</v>
      </c>
      <c r="D52" s="44">
        <f>$E$24</f>
        <v>30.160000000000004</v>
      </c>
      <c r="E52" s="12"/>
      <c r="I52" s="6"/>
      <c r="J52" s="6"/>
      <c r="K52" s="108"/>
      <c r="M52" s="86"/>
    </row>
    <row r="53" spans="2:13" x14ac:dyDescent="0.2">
      <c r="B53" s="12" t="s">
        <v>51</v>
      </c>
      <c r="C53" s="43">
        <f t="shared" ref="C53:C56" si="3">($E$28*60)+($E$26*70)+($E$27*90)</f>
        <v>280</v>
      </c>
      <c r="D53" s="44">
        <f>$E$24</f>
        <v>30.160000000000004</v>
      </c>
      <c r="E53" s="12"/>
      <c r="I53" s="6"/>
      <c r="J53" s="6"/>
      <c r="K53" s="108"/>
      <c r="M53" s="86"/>
    </row>
    <row r="54" spans="2:13" x14ac:dyDescent="0.2">
      <c r="B54" s="12" t="s">
        <v>52</v>
      </c>
      <c r="C54" s="43">
        <f t="shared" si="3"/>
        <v>280</v>
      </c>
      <c r="D54" s="44">
        <f>$E$24</f>
        <v>30.160000000000004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 t="shared" si="3"/>
        <v>280</v>
      </c>
      <c r="D55" s="44">
        <f>$E$24</f>
        <v>30.160000000000004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 t="shared" si="3"/>
        <v>280</v>
      </c>
      <c r="D56" s="44">
        <f t="shared" ref="D56:D59" si="4">$E$24</f>
        <v>30.160000000000004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>
        <f t="shared" ref="C57:C59" si="5">($E$30*70)+($E$31*90)+($E$32*60)</f>
        <v>210</v>
      </c>
      <c r="D57" s="44">
        <f t="shared" si="4"/>
        <v>30.160000000000004</v>
      </c>
      <c r="E57" s="12"/>
      <c r="I57" s="6"/>
      <c r="J57" s="6"/>
      <c r="K57" s="108"/>
      <c r="M57" s="86"/>
    </row>
    <row r="58" spans="2:13" x14ac:dyDescent="0.2">
      <c r="B58" s="12" t="s">
        <v>56</v>
      </c>
      <c r="C58" s="43">
        <f t="shared" si="5"/>
        <v>210</v>
      </c>
      <c r="D58" s="44">
        <f t="shared" si="4"/>
        <v>30.160000000000004</v>
      </c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>
        <f t="shared" si="5"/>
        <v>210</v>
      </c>
      <c r="D59" s="44">
        <f t="shared" si="4"/>
        <v>30.160000000000004</v>
      </c>
      <c r="E59" s="12"/>
      <c r="G59" s="90">
        <f>C62+D62+E62</f>
        <v>2423.38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76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2030</v>
      </c>
      <c r="D62" s="63">
        <f t="shared" ref="D62:E62" si="6">SUM(D51:D61)</f>
        <v>241.28</v>
      </c>
      <c r="E62" s="64">
        <f t="shared" si="6"/>
        <v>152.1</v>
      </c>
      <c r="G62" s="76">
        <f>SUM(C62:D62)</f>
        <v>2271.2800000000002</v>
      </c>
    </row>
    <row r="64" spans="2:13" x14ac:dyDescent="0.2">
      <c r="B64" s="16" t="s">
        <v>70</v>
      </c>
      <c r="C64" s="16"/>
      <c r="D64" s="16"/>
      <c r="E64" s="16"/>
      <c r="F64" s="16"/>
    </row>
    <row r="66" spans="2:7" x14ac:dyDescent="0.2">
      <c r="B66" t="s">
        <v>108</v>
      </c>
      <c r="E66" s="58">
        <f>E47/C62</f>
        <v>31007.3252097734</v>
      </c>
    </row>
    <row r="67" spans="2:7" x14ac:dyDescent="0.2">
      <c r="B67" s="40" t="s">
        <v>127</v>
      </c>
      <c r="C67" s="40"/>
      <c r="D67" s="40"/>
      <c r="E67" s="53">
        <f>E66*90*D67</f>
        <v>0</v>
      </c>
      <c r="G67" s="35" t="s">
        <v>223</v>
      </c>
    </row>
    <row r="68" spans="2:7" x14ac:dyDescent="0.2">
      <c r="B68" s="40" t="s">
        <v>128</v>
      </c>
      <c r="C68" s="40"/>
      <c r="D68" s="52">
        <v>1</v>
      </c>
      <c r="E68" s="53">
        <f>E66*70*D68</f>
        <v>2170512.7646841379</v>
      </c>
      <c r="G68" s="109">
        <v>1020000</v>
      </c>
    </row>
    <row r="69" spans="2:7" x14ac:dyDescent="0.2">
      <c r="B69" s="40" t="s">
        <v>110</v>
      </c>
      <c r="C69" s="40"/>
      <c r="D69" s="74"/>
      <c r="E69" s="53">
        <f>E66*60*D69</f>
        <v>0</v>
      </c>
      <c r="G69" s="109">
        <v>2040000</v>
      </c>
    </row>
  </sheetData>
  <mergeCells count="7">
    <mergeCell ref="G38:G39"/>
    <mergeCell ref="A27:A30"/>
    <mergeCell ref="G5:G6"/>
    <mergeCell ref="B29:C29"/>
    <mergeCell ref="B25:C25"/>
    <mergeCell ref="B22:C22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DCD96-8666-4DA6-AA93-F28F5249C2EC}">
  <sheetPr>
    <tabColor theme="7" tint="0.79998168889431442"/>
  </sheetPr>
  <dimension ref="A1:M69"/>
  <sheetViews>
    <sheetView zoomScale="70" zoomScaleNormal="7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270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187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262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>
        <v>21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x14ac:dyDescent="0.2">
      <c r="B11" t="s">
        <v>116</v>
      </c>
      <c r="E11" s="2" t="s">
        <v>188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170</v>
      </c>
    </row>
    <row r="18" spans="1:8" ht="33.75" customHeight="1" x14ac:dyDescent="0.2">
      <c r="B18" s="142" t="s">
        <v>119</v>
      </c>
      <c r="C18" s="142"/>
      <c r="E18" s="11">
        <f>E5*E6</f>
        <v>209.60000000000002</v>
      </c>
      <c r="F18" t="s">
        <v>0</v>
      </c>
      <c r="G18" s="46"/>
    </row>
    <row r="19" spans="1:8" x14ac:dyDescent="0.2">
      <c r="B19" t="s">
        <v>94</v>
      </c>
      <c r="E19" s="40">
        <f>E5*(E7+E8)</f>
        <v>1048</v>
      </c>
      <c r="F19" t="s">
        <v>0</v>
      </c>
    </row>
    <row r="20" spans="1:8" x14ac:dyDescent="0.2">
      <c r="B20" t="s">
        <v>39</v>
      </c>
      <c r="D20" s="11">
        <f>E19/E18</f>
        <v>4.9999999999999991</v>
      </c>
      <c r="E20" s="11">
        <f>D20</f>
        <v>4.9999999999999991</v>
      </c>
      <c r="F20" t="s">
        <v>40</v>
      </c>
    </row>
    <row r="21" spans="1:8" x14ac:dyDescent="0.2">
      <c r="B21" t="s">
        <v>101</v>
      </c>
      <c r="E21">
        <f>E20*3</f>
        <v>14.999999999999996</v>
      </c>
      <c r="F21" t="s">
        <v>34</v>
      </c>
      <c r="G21" s="46"/>
      <c r="H21" t="s">
        <v>106</v>
      </c>
    </row>
    <row r="22" spans="1:8" ht="43.5" customHeight="1" x14ac:dyDescent="0.2">
      <c r="B22" s="142" t="s">
        <v>102</v>
      </c>
      <c r="C22" s="142"/>
      <c r="E22" s="11">
        <f>E18-(5*10)</f>
        <v>159.60000000000002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20.960000000000004</v>
      </c>
      <c r="F24" t="s">
        <v>0</v>
      </c>
      <c r="G24" s="5"/>
    </row>
    <row r="25" spans="1:8" ht="39" customHeight="1" x14ac:dyDescent="0.2">
      <c r="B25" s="143" t="s">
        <v>189</v>
      </c>
      <c r="C25" s="143"/>
      <c r="D25" s="49">
        <v>3</v>
      </c>
      <c r="E25" s="51">
        <f>E18-E24</f>
        <v>188.64000000000001</v>
      </c>
      <c r="F25" s="49" t="s">
        <v>0</v>
      </c>
      <c r="G25" s="124" t="s">
        <v>233</v>
      </c>
    </row>
    <row r="26" spans="1:8" x14ac:dyDescent="0.2">
      <c r="B26" t="s">
        <v>122</v>
      </c>
      <c r="D26" s="11">
        <f>E25/70</f>
        <v>2.6948571428571433</v>
      </c>
      <c r="F26" s="80">
        <f>D25*E26</f>
        <v>0</v>
      </c>
      <c r="G26" s="86">
        <f>F26+F30</f>
        <v>4</v>
      </c>
    </row>
    <row r="27" spans="1:8" x14ac:dyDescent="0.2">
      <c r="A27" s="137"/>
      <c r="B27" t="s">
        <v>141</v>
      </c>
      <c r="D27" s="11">
        <f>E25/90</f>
        <v>2.0960000000000001</v>
      </c>
      <c r="E27" s="2">
        <v>2</v>
      </c>
      <c r="F27" s="80">
        <f>D25*E27</f>
        <v>6</v>
      </c>
      <c r="G27" s="86">
        <f t="shared" ref="G27:G28" si="0">F27+F31</f>
        <v>6</v>
      </c>
    </row>
    <row r="28" spans="1:8" x14ac:dyDescent="0.2">
      <c r="A28" s="137"/>
      <c r="B28" t="s">
        <v>125</v>
      </c>
      <c r="D28" s="11">
        <f>E25/60</f>
        <v>3.1440000000000001</v>
      </c>
      <c r="E28" s="2"/>
      <c r="F28" s="80">
        <f>D25*E28</f>
        <v>0</v>
      </c>
      <c r="G28" s="86">
        <f t="shared" si="0"/>
        <v>0</v>
      </c>
    </row>
    <row r="29" spans="1:8" ht="37.5" customHeight="1" x14ac:dyDescent="0.2">
      <c r="A29" s="137"/>
      <c r="B29" s="144" t="s">
        <v>190</v>
      </c>
      <c r="C29" s="144"/>
      <c r="D29" s="72">
        <v>2</v>
      </c>
      <c r="E29" s="73">
        <f>E22-E24</f>
        <v>138.64000000000001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1.9805714285714289</v>
      </c>
      <c r="E30">
        <v>2</v>
      </c>
      <c r="F30" s="80">
        <f>D29*E30</f>
        <v>4</v>
      </c>
    </row>
    <row r="31" spans="1:8" x14ac:dyDescent="0.2">
      <c r="B31" t="s">
        <v>141</v>
      </c>
      <c r="D31">
        <f>E29/90</f>
        <v>1.5404444444444445</v>
      </c>
      <c r="F31" s="80">
        <f>D29*E31</f>
        <v>0</v>
      </c>
    </row>
    <row r="32" spans="1:8" x14ac:dyDescent="0.2">
      <c r="B32" t="s">
        <v>125</v>
      </c>
      <c r="D32">
        <f>E29/60</f>
        <v>2.3106666666666671</v>
      </c>
      <c r="F32" s="80">
        <f>D29*E32</f>
        <v>0</v>
      </c>
    </row>
    <row r="33" spans="2:8" x14ac:dyDescent="0.2">
      <c r="F33" s="80"/>
    </row>
    <row r="34" spans="2:8" x14ac:dyDescent="0.2">
      <c r="B34" s="40" t="s">
        <v>123</v>
      </c>
      <c r="C34" s="40"/>
      <c r="D34" s="40"/>
      <c r="E34" s="56">
        <f>SUM(G26:G28)</f>
        <v>10</v>
      </c>
    </row>
    <row r="35" spans="2:8" x14ac:dyDescent="0.2">
      <c r="B35" t="s">
        <v>126</v>
      </c>
      <c r="D35" s="11">
        <f>E34*0.25</f>
        <v>2.5</v>
      </c>
      <c r="E35">
        <v>3</v>
      </c>
    </row>
    <row r="37" spans="2:8" x14ac:dyDescent="0.2">
      <c r="B37" s="16" t="s">
        <v>64</v>
      </c>
      <c r="C37" s="16"/>
      <c r="D37" s="16"/>
      <c r="E37" s="16"/>
      <c r="F37" s="16"/>
      <c r="G37" s="40"/>
      <c r="H37" s="40"/>
    </row>
    <row r="38" spans="2:8" x14ac:dyDescent="0.2">
      <c r="B38" s="40"/>
      <c r="C38" s="40"/>
      <c r="D38" s="40"/>
      <c r="E38" s="40"/>
      <c r="F38" s="40"/>
      <c r="G38" s="40"/>
      <c r="H38" s="40"/>
    </row>
    <row r="39" spans="2:8" x14ac:dyDescent="0.2">
      <c r="B39" t="s">
        <v>28</v>
      </c>
      <c r="E39" s="62">
        <v>12000000</v>
      </c>
      <c r="F39" s="40"/>
      <c r="G39" s="40"/>
    </row>
    <row r="40" spans="2:8" x14ac:dyDescent="0.2">
      <c r="B40" t="s">
        <v>107</v>
      </c>
      <c r="E40" s="84">
        <f>(E39-DATOS!L67)*DATOS!M67</f>
        <v>397464.14188000001</v>
      </c>
    </row>
    <row r="41" spans="2:8" x14ac:dyDescent="0.2">
      <c r="B41" t="s">
        <v>65</v>
      </c>
      <c r="E41" s="84">
        <f>G59*DATOS!H31</f>
        <v>16280704.800000004</v>
      </c>
      <c r="G41" s="40"/>
    </row>
    <row r="42" spans="2:8" x14ac:dyDescent="0.2">
      <c r="B42" t="s">
        <v>67</v>
      </c>
      <c r="E42" s="84">
        <f>E41*DATOS!B39</f>
        <v>1302456.3840000003</v>
      </c>
    </row>
    <row r="43" spans="2:8" x14ac:dyDescent="0.2">
      <c r="B43" t="s">
        <v>86</v>
      </c>
      <c r="E43" s="84">
        <f>E41*DATOS!B49</f>
        <v>1139649.3360000004</v>
      </c>
      <c r="G43" s="46"/>
    </row>
    <row r="44" spans="2:8" x14ac:dyDescent="0.2">
      <c r="B44" t="s">
        <v>68</v>
      </c>
      <c r="E44" s="84">
        <f>E41*DATOS!B83</f>
        <v>1058245.8120000004</v>
      </c>
    </row>
    <row r="45" spans="2:8" x14ac:dyDescent="0.2">
      <c r="B45" t="s">
        <v>129</v>
      </c>
      <c r="E45" s="84">
        <f>E41*DATOS!B91</f>
        <v>2442105.7200000007</v>
      </c>
    </row>
    <row r="46" spans="2:8" x14ac:dyDescent="0.2">
      <c r="E46" s="84"/>
    </row>
    <row r="47" spans="2:8" x14ac:dyDescent="0.2">
      <c r="B47" s="54" t="s">
        <v>69</v>
      </c>
      <c r="C47" s="54"/>
      <c r="D47" s="54"/>
      <c r="E47" s="103">
        <f>SUM(E39:E45)</f>
        <v>34620626.193879999</v>
      </c>
    </row>
    <row r="49" spans="2:13" x14ac:dyDescent="0.2">
      <c r="B49" s="40"/>
      <c r="C49" s="40" t="s">
        <v>120</v>
      </c>
      <c r="G49" s="112" t="s">
        <v>104</v>
      </c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</row>
    <row r="51" spans="2:13" x14ac:dyDescent="0.2">
      <c r="B51" s="12" t="s">
        <v>49</v>
      </c>
      <c r="C51" s="12"/>
      <c r="D51" s="12"/>
      <c r="E51" s="44">
        <f>E35*13*1.3</f>
        <v>50.7</v>
      </c>
      <c r="M51" s="86"/>
    </row>
    <row r="52" spans="2:13" x14ac:dyDescent="0.2">
      <c r="B52" s="12" t="s">
        <v>50</v>
      </c>
      <c r="C52" s="43">
        <f>($E$28*60)+($E$26*70)+($E$27*90)</f>
        <v>180</v>
      </c>
      <c r="D52" s="44">
        <f>$E$24</f>
        <v>20.960000000000004</v>
      </c>
      <c r="E52" s="12"/>
      <c r="M52" s="86"/>
    </row>
    <row r="53" spans="2:13" x14ac:dyDescent="0.2">
      <c r="B53" s="12" t="s">
        <v>51</v>
      </c>
      <c r="C53" s="43">
        <f t="shared" ref="C53:C54" si="1">($E$28*60)+($E$26*70)+($E$27*90)</f>
        <v>180</v>
      </c>
      <c r="D53" s="44">
        <f>$E$24</f>
        <v>20.960000000000004</v>
      </c>
      <c r="E53" s="12"/>
      <c r="I53" s="6"/>
      <c r="J53" s="6"/>
      <c r="K53" s="108"/>
      <c r="M53" s="86"/>
    </row>
    <row r="54" spans="2:13" x14ac:dyDescent="0.2">
      <c r="B54" s="12" t="s">
        <v>52</v>
      </c>
      <c r="C54" s="43">
        <f t="shared" si="1"/>
        <v>180</v>
      </c>
      <c r="D54" s="44">
        <f>$E$24</f>
        <v>20.960000000000004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 t="shared" ref="C55:C56" si="2">($E$30*70)+($E$31*90)+($E$32*60)</f>
        <v>140</v>
      </c>
      <c r="D55" s="44">
        <f>$E$24</f>
        <v>20.960000000000004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 t="shared" si="2"/>
        <v>140</v>
      </c>
      <c r="D56" s="44">
        <f t="shared" ref="D56" si="3">$E$24</f>
        <v>20.960000000000004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/>
      <c r="D57" s="44"/>
      <c r="E57" s="12"/>
      <c r="I57" s="6"/>
      <c r="J57" s="6"/>
      <c r="K57" s="108"/>
      <c r="M57" s="86"/>
    </row>
    <row r="58" spans="2:13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/>
      <c r="D59" s="44"/>
      <c r="E59" s="12"/>
      <c r="G59" s="90">
        <f>C62+D62+E62</f>
        <v>975.50000000000011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76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820</v>
      </c>
      <c r="D62" s="63">
        <f t="shared" ref="D62:E62" si="4">SUM(D51:D61)</f>
        <v>104.80000000000003</v>
      </c>
      <c r="E62" s="64">
        <f t="shared" si="4"/>
        <v>50.7</v>
      </c>
      <c r="G62" s="76">
        <f>SUM(C62:D62)</f>
        <v>924.80000000000007</v>
      </c>
      <c r="I62" s="6"/>
      <c r="J62" s="6"/>
      <c r="K62" s="108"/>
      <c r="M62" s="86"/>
    </row>
    <row r="64" spans="2:13" x14ac:dyDescent="0.2">
      <c r="B64" s="16" t="s">
        <v>70</v>
      </c>
      <c r="C64" s="16"/>
      <c r="D64" s="16"/>
      <c r="E64" s="16"/>
      <c r="F64" s="16"/>
    </row>
    <row r="66" spans="2:7" x14ac:dyDescent="0.2">
      <c r="B66" t="s">
        <v>108</v>
      </c>
      <c r="E66" s="58">
        <f>E47/C62</f>
        <v>42220.275846195123</v>
      </c>
    </row>
    <row r="67" spans="2:7" x14ac:dyDescent="0.2">
      <c r="B67" s="40" t="s">
        <v>127</v>
      </c>
      <c r="C67" s="40"/>
      <c r="D67" s="40">
        <v>1</v>
      </c>
      <c r="E67" s="88">
        <f>E66*90*D67</f>
        <v>3799824.826157561</v>
      </c>
      <c r="G67" s="35" t="s">
        <v>223</v>
      </c>
    </row>
    <row r="68" spans="2:7" x14ac:dyDescent="0.2">
      <c r="B68" s="40" t="s">
        <v>128</v>
      </c>
      <c r="C68" s="40"/>
      <c r="D68" s="52"/>
      <c r="E68" s="88">
        <f>E66*70*D68</f>
        <v>0</v>
      </c>
      <c r="G68" s="109">
        <v>1020000</v>
      </c>
    </row>
    <row r="69" spans="2:7" x14ac:dyDescent="0.2">
      <c r="B69" s="40" t="s">
        <v>110</v>
      </c>
      <c r="C69" s="40"/>
      <c r="D69" s="74">
        <v>1</v>
      </c>
      <c r="E69" s="88">
        <f>E66*60*D69</f>
        <v>2533216.5507717072</v>
      </c>
      <c r="G69" s="109">
        <v>2040000</v>
      </c>
    </row>
  </sheetData>
  <mergeCells count="6">
    <mergeCell ref="G5:G6"/>
    <mergeCell ref="A27:A30"/>
    <mergeCell ref="B18:C18"/>
    <mergeCell ref="B25:C25"/>
    <mergeCell ref="B29:C29"/>
    <mergeCell ref="B22:C22"/>
  </mergeCell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BFA86-B7B6-4F61-B6EC-0875982C8087}">
  <sheetPr>
    <tabColor theme="7" tint="0.79998168889431442"/>
  </sheetPr>
  <dimension ref="A1:M69"/>
  <sheetViews>
    <sheetView zoomScaleNormal="6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271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191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297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>
        <v>21</v>
      </c>
      <c r="F9" t="s">
        <v>34</v>
      </c>
    </row>
    <row r="10" spans="1:7" x14ac:dyDescent="0.2">
      <c r="B10" t="s">
        <v>95</v>
      </c>
      <c r="E10" s="2" t="s">
        <v>174</v>
      </c>
    </row>
    <row r="11" spans="1:7" x14ac:dyDescent="0.2">
      <c r="B11" t="s">
        <v>116</v>
      </c>
      <c r="E11" s="2" t="s">
        <v>192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170</v>
      </c>
    </row>
    <row r="18" spans="1:8" ht="36" customHeight="1" x14ac:dyDescent="0.2">
      <c r="B18" s="131" t="s">
        <v>119</v>
      </c>
      <c r="C18" s="131"/>
      <c r="E18" s="11">
        <f>E5*E6</f>
        <v>237.60000000000002</v>
      </c>
      <c r="F18" t="s">
        <v>0</v>
      </c>
      <c r="G18" s="46"/>
    </row>
    <row r="19" spans="1:8" x14ac:dyDescent="0.2">
      <c r="B19" t="s">
        <v>94</v>
      </c>
      <c r="E19" s="40">
        <f>E5*(E7+E8)</f>
        <v>1188</v>
      </c>
      <c r="F19" t="s">
        <v>0</v>
      </c>
    </row>
    <row r="20" spans="1:8" x14ac:dyDescent="0.2">
      <c r="B20" t="s">
        <v>39</v>
      </c>
      <c r="D20" s="11">
        <f>E19/E18</f>
        <v>4.9999999999999991</v>
      </c>
      <c r="E20" s="11">
        <f>D20</f>
        <v>4.9999999999999991</v>
      </c>
      <c r="F20" t="s">
        <v>40</v>
      </c>
    </row>
    <row r="21" spans="1:8" x14ac:dyDescent="0.2">
      <c r="B21" t="s">
        <v>101</v>
      </c>
      <c r="E21">
        <f>E20*3</f>
        <v>14.999999999999996</v>
      </c>
      <c r="F21" t="s">
        <v>34</v>
      </c>
      <c r="G21" s="46"/>
      <c r="H21" t="s">
        <v>106</v>
      </c>
    </row>
    <row r="22" spans="1:8" ht="34" customHeight="1" x14ac:dyDescent="0.2">
      <c r="B22" s="5" t="s">
        <v>102</v>
      </c>
      <c r="C22" s="5"/>
      <c r="E22" s="11">
        <f>E18-(5*9)</f>
        <v>192.60000000000002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23.760000000000005</v>
      </c>
      <c r="F24" t="s">
        <v>0</v>
      </c>
      <c r="G24" s="5"/>
    </row>
    <row r="25" spans="1:8" ht="41.25" customHeight="1" x14ac:dyDescent="0.2">
      <c r="B25" s="143" t="s">
        <v>189</v>
      </c>
      <c r="C25" s="143"/>
      <c r="D25" s="49">
        <v>3</v>
      </c>
      <c r="E25" s="51">
        <f>E18-E24</f>
        <v>213.84000000000003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3.0548571428571432</v>
      </c>
      <c r="E26">
        <v>3</v>
      </c>
      <c r="F26" s="80">
        <f>D25*E26</f>
        <v>9</v>
      </c>
      <c r="G26" s="86">
        <f>F26+F30</f>
        <v>9</v>
      </c>
    </row>
    <row r="27" spans="1:8" x14ac:dyDescent="0.2">
      <c r="A27" s="137"/>
      <c r="B27" t="s">
        <v>124</v>
      </c>
      <c r="D27" s="11">
        <f>E25/90</f>
        <v>2.3760000000000003</v>
      </c>
      <c r="E27" s="2"/>
      <c r="F27" s="80">
        <f>D25*E27</f>
        <v>0</v>
      </c>
      <c r="G27" s="86">
        <f t="shared" ref="G27:G28" si="0">F27+F31</f>
        <v>4</v>
      </c>
    </row>
    <row r="28" spans="1:8" x14ac:dyDescent="0.2">
      <c r="A28" s="137"/>
      <c r="B28" t="s">
        <v>125</v>
      </c>
      <c r="D28" s="11">
        <f>E25/60</f>
        <v>3.5640000000000005</v>
      </c>
      <c r="E28" s="2"/>
      <c r="F28" s="80">
        <f>D25*E28</f>
        <v>0</v>
      </c>
      <c r="G28" s="86">
        <f t="shared" si="0"/>
        <v>0</v>
      </c>
    </row>
    <row r="29" spans="1:8" ht="36" customHeight="1" x14ac:dyDescent="0.2">
      <c r="A29" s="137"/>
      <c r="B29" s="144" t="s">
        <v>190</v>
      </c>
      <c r="C29" s="144"/>
      <c r="D29" s="72">
        <v>2</v>
      </c>
      <c r="E29" s="73">
        <f>E22-E24</f>
        <v>168.84000000000003</v>
      </c>
      <c r="F29" s="72" t="s">
        <v>0</v>
      </c>
    </row>
    <row r="30" spans="1:8" x14ac:dyDescent="0.2">
      <c r="A30" s="137"/>
      <c r="B30" t="s">
        <v>122</v>
      </c>
      <c r="D30">
        <f>E29/70</f>
        <v>2.4120000000000004</v>
      </c>
      <c r="F30" s="80">
        <f>D29*E30</f>
        <v>0</v>
      </c>
    </row>
    <row r="31" spans="1:8" x14ac:dyDescent="0.2">
      <c r="B31" t="s">
        <v>124</v>
      </c>
      <c r="D31">
        <f>E29/90</f>
        <v>1.8760000000000003</v>
      </c>
      <c r="E31">
        <v>2</v>
      </c>
      <c r="F31" s="80">
        <f>D29*E31</f>
        <v>4</v>
      </c>
    </row>
    <row r="32" spans="1:8" x14ac:dyDescent="0.2">
      <c r="B32" t="s">
        <v>125</v>
      </c>
      <c r="D32">
        <f>E29/60</f>
        <v>2.8140000000000005</v>
      </c>
      <c r="F32" s="80">
        <f>D29*E32</f>
        <v>0</v>
      </c>
    </row>
    <row r="34" spans="2:8" x14ac:dyDescent="0.2">
      <c r="B34" s="40" t="s">
        <v>123</v>
      </c>
      <c r="C34" s="40"/>
      <c r="D34" s="40"/>
      <c r="E34" s="56">
        <f>SUM(G26:G28)</f>
        <v>13</v>
      </c>
      <c r="F34" s="56">
        <f>ROUND(E34,0)</f>
        <v>13</v>
      </c>
    </row>
    <row r="35" spans="2:8" x14ac:dyDescent="0.2">
      <c r="B35" t="s">
        <v>126</v>
      </c>
      <c r="E35" s="11">
        <f>E34*0.25</f>
        <v>3.25</v>
      </c>
      <c r="F35" s="79">
        <v>4</v>
      </c>
    </row>
    <row r="37" spans="2:8" x14ac:dyDescent="0.2">
      <c r="B37" s="16" t="s">
        <v>64</v>
      </c>
      <c r="C37" s="16"/>
      <c r="D37" s="16"/>
      <c r="E37" s="16"/>
      <c r="F37" s="16"/>
    </row>
    <row r="38" spans="2:8" x14ac:dyDescent="0.2">
      <c r="B38" s="40"/>
      <c r="C38" s="40"/>
      <c r="D38" s="40"/>
      <c r="E38" s="40"/>
      <c r="F38" s="40"/>
      <c r="G38" s="40"/>
      <c r="H38" s="40"/>
    </row>
    <row r="39" spans="2:8" x14ac:dyDescent="0.2">
      <c r="B39" t="s">
        <v>28</v>
      </c>
      <c r="E39" s="62">
        <v>11990000</v>
      </c>
      <c r="F39" s="40"/>
      <c r="G39" s="40"/>
    </row>
    <row r="40" spans="2:8" x14ac:dyDescent="0.2">
      <c r="B40" t="s">
        <v>107</v>
      </c>
      <c r="E40" s="84">
        <f>(E39-DATOS!L67)*DATOS!M67</f>
        <v>397124.14188000001</v>
      </c>
    </row>
    <row r="41" spans="2:8" x14ac:dyDescent="0.2">
      <c r="B41" t="s">
        <v>65</v>
      </c>
      <c r="E41" s="84">
        <f>G59*DATOS!H31</f>
        <v>19633645.440000001</v>
      </c>
      <c r="G41" s="40"/>
    </row>
    <row r="42" spans="2:8" x14ac:dyDescent="0.2">
      <c r="B42" t="s">
        <v>67</v>
      </c>
      <c r="E42" s="84">
        <f>E41*DATOS!B39</f>
        <v>1570691.6352000001</v>
      </c>
    </row>
    <row r="43" spans="2:8" x14ac:dyDescent="0.2">
      <c r="B43" t="s">
        <v>86</v>
      </c>
      <c r="E43" s="84">
        <f>E41*DATOS!B49</f>
        <v>1374355.1808000002</v>
      </c>
      <c r="G43" s="46"/>
    </row>
    <row r="44" spans="2:8" x14ac:dyDescent="0.2">
      <c r="B44" t="s">
        <v>68</v>
      </c>
      <c r="E44" s="84">
        <f>E41*DATOS!B83</f>
        <v>1276186.9536000001</v>
      </c>
    </row>
    <row r="45" spans="2:8" x14ac:dyDescent="0.2">
      <c r="B45" t="s">
        <v>129</v>
      </c>
      <c r="E45" s="84">
        <f>E41*DATOS!B91</f>
        <v>2945046.8160000001</v>
      </c>
    </row>
    <row r="46" spans="2:8" x14ac:dyDescent="0.2">
      <c r="E46" s="84"/>
    </row>
    <row r="47" spans="2:8" x14ac:dyDescent="0.2">
      <c r="B47" s="54" t="s">
        <v>69</v>
      </c>
      <c r="C47" s="54"/>
      <c r="D47" s="54"/>
      <c r="E47" s="103">
        <f>SUM(E39:E45)</f>
        <v>39187050.167479999</v>
      </c>
    </row>
    <row r="49" spans="2:13" ht="34" x14ac:dyDescent="0.2">
      <c r="B49" s="40"/>
      <c r="C49" s="40" t="s">
        <v>120</v>
      </c>
      <c r="G49" s="110" t="s">
        <v>104</v>
      </c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</row>
    <row r="51" spans="2:13" x14ac:dyDescent="0.2">
      <c r="B51" s="12" t="s">
        <v>49</v>
      </c>
      <c r="C51" s="12"/>
      <c r="D51" s="12"/>
      <c r="E51" s="44">
        <f>F35*13*1.3</f>
        <v>67.600000000000009</v>
      </c>
    </row>
    <row r="52" spans="2:13" x14ac:dyDescent="0.2">
      <c r="B52" s="12" t="s">
        <v>50</v>
      </c>
      <c r="C52" s="43">
        <f>($E$28*60)+($E$26*70)+($E$27*90)</f>
        <v>210</v>
      </c>
      <c r="D52" s="44">
        <f>$E$24</f>
        <v>23.760000000000005</v>
      </c>
      <c r="E52" s="12"/>
    </row>
    <row r="53" spans="2:13" x14ac:dyDescent="0.2">
      <c r="B53" s="12" t="s">
        <v>51</v>
      </c>
      <c r="C53" s="43">
        <f t="shared" ref="C53:C54" si="1">($E$28*60)+($E$26*70)+($E$27*90)</f>
        <v>210</v>
      </c>
      <c r="D53" s="44">
        <f>$E$24</f>
        <v>23.760000000000005</v>
      </c>
      <c r="E53" s="12"/>
      <c r="I53" s="6"/>
      <c r="J53" s="6"/>
      <c r="K53" s="108"/>
      <c r="M53" s="86"/>
    </row>
    <row r="54" spans="2:13" x14ac:dyDescent="0.2">
      <c r="B54" s="12" t="s">
        <v>52</v>
      </c>
      <c r="C54" s="43">
        <f t="shared" si="1"/>
        <v>210</v>
      </c>
      <c r="D54" s="44">
        <f>$E$24</f>
        <v>23.760000000000005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 t="shared" ref="C55:C56" si="2">($E$30*70)+($E$31*90)+($E$32*60)</f>
        <v>180</v>
      </c>
      <c r="D55" s="44">
        <f>$E$24</f>
        <v>23.760000000000005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 t="shared" si="2"/>
        <v>180</v>
      </c>
      <c r="D56" s="44">
        <f t="shared" ref="D56" si="3">$E$24</f>
        <v>23.760000000000005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/>
      <c r="D57" s="44"/>
      <c r="E57" s="12"/>
      <c r="I57" s="6"/>
      <c r="J57" s="6"/>
      <c r="K57" s="108"/>
      <c r="M57" s="86"/>
    </row>
    <row r="58" spans="2:13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/>
      <c r="D59" s="44"/>
      <c r="E59" s="12"/>
      <c r="G59" s="90">
        <f>C62+D62+E62</f>
        <v>1176.3999999999999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76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990</v>
      </c>
      <c r="D62" s="63">
        <f t="shared" ref="D62:E62" si="4">SUM(D51:D61)</f>
        <v>118.80000000000003</v>
      </c>
      <c r="E62" s="64">
        <f t="shared" si="4"/>
        <v>67.600000000000009</v>
      </c>
      <c r="G62" s="76">
        <f>SUM(C62:D62)</f>
        <v>1108.8</v>
      </c>
      <c r="I62" s="6"/>
      <c r="J62" s="6"/>
      <c r="K62" s="108"/>
      <c r="M62" s="86"/>
    </row>
    <row r="63" spans="2:13" x14ac:dyDescent="0.2">
      <c r="I63" s="6"/>
      <c r="J63" s="6"/>
      <c r="K63" s="108"/>
      <c r="M63" s="86"/>
    </row>
    <row r="64" spans="2:13" x14ac:dyDescent="0.2">
      <c r="B64" s="16" t="s">
        <v>70</v>
      </c>
      <c r="C64" s="16"/>
      <c r="D64" s="16"/>
      <c r="E64" s="16"/>
      <c r="F64" s="16"/>
    </row>
    <row r="66" spans="2:7" x14ac:dyDescent="0.2">
      <c r="B66" t="s">
        <v>108</v>
      </c>
      <c r="E66" s="58">
        <f>E47/C62</f>
        <v>39582.878957050503</v>
      </c>
    </row>
    <row r="67" spans="2:7" x14ac:dyDescent="0.2">
      <c r="B67" s="40" t="s">
        <v>127</v>
      </c>
      <c r="C67" s="40"/>
      <c r="D67" s="65">
        <v>1</v>
      </c>
      <c r="E67" s="88">
        <f>E66*90*D67</f>
        <v>3562459.1061345451</v>
      </c>
      <c r="G67" s="35" t="s">
        <v>223</v>
      </c>
    </row>
    <row r="68" spans="2:7" x14ac:dyDescent="0.2">
      <c r="B68" s="40" t="s">
        <v>128</v>
      </c>
      <c r="C68" s="40"/>
      <c r="D68" s="52">
        <v>1</v>
      </c>
      <c r="E68" s="88">
        <f>E66*70*D68</f>
        <v>2770801.5269935355</v>
      </c>
      <c r="G68" s="109">
        <v>1020000</v>
      </c>
    </row>
    <row r="69" spans="2:7" x14ac:dyDescent="0.2">
      <c r="B69" s="40" t="s">
        <v>110</v>
      </c>
      <c r="C69" s="40"/>
      <c r="D69" s="74"/>
      <c r="E69" s="88">
        <f>E66*60*D69</f>
        <v>0</v>
      </c>
      <c r="G69" s="109">
        <v>2040000</v>
      </c>
    </row>
  </sheetData>
  <mergeCells count="5">
    <mergeCell ref="A27:A30"/>
    <mergeCell ref="G5:G6"/>
    <mergeCell ref="B25:C25"/>
    <mergeCell ref="B29:C29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A43E-17EA-48A5-96C8-31122EB3E78F}">
  <sheetPr>
    <tabColor theme="7" tint="0.79998168889431442"/>
  </sheetPr>
  <dimension ref="A1:M70"/>
  <sheetViews>
    <sheetView zoomScale="75" zoomScaleNormal="6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273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193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148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>
        <v>24</v>
      </c>
      <c r="F9" t="s">
        <v>34</v>
      </c>
    </row>
    <row r="10" spans="1:7" x14ac:dyDescent="0.2">
      <c r="B10" t="s">
        <v>95</v>
      </c>
      <c r="E10" s="2" t="s">
        <v>174</v>
      </c>
    </row>
    <row r="11" spans="1:7" x14ac:dyDescent="0.2">
      <c r="B11" t="s">
        <v>116</v>
      </c>
      <c r="E11" s="2" t="s">
        <v>194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170</v>
      </c>
    </row>
    <row r="18" spans="1:8" ht="37.5" customHeight="1" x14ac:dyDescent="0.2">
      <c r="B18" s="142" t="s">
        <v>119</v>
      </c>
      <c r="C18" s="142"/>
      <c r="E18" s="11">
        <f>E5*E6</f>
        <v>118.4</v>
      </c>
      <c r="F18" t="s">
        <v>0</v>
      </c>
      <c r="G18" s="46"/>
    </row>
    <row r="19" spans="1:8" x14ac:dyDescent="0.2">
      <c r="B19" t="s">
        <v>94</v>
      </c>
      <c r="E19" s="40">
        <f>E5*(E7+E8)</f>
        <v>592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G21" s="46"/>
      <c r="H21" t="s">
        <v>106</v>
      </c>
    </row>
    <row r="22" spans="1:8" ht="34" customHeight="1" x14ac:dyDescent="0.2">
      <c r="B22" s="5" t="s">
        <v>102</v>
      </c>
      <c r="C22" s="5"/>
      <c r="E22" s="11">
        <f>E18-(5*7)</f>
        <v>83.4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11.840000000000002</v>
      </c>
      <c r="F24" t="s">
        <v>0</v>
      </c>
      <c r="G24" s="5"/>
    </row>
    <row r="25" spans="1:8" ht="36" customHeight="1" x14ac:dyDescent="0.2">
      <c r="B25" s="143" t="s">
        <v>189</v>
      </c>
      <c r="C25" s="143"/>
      <c r="D25" s="49">
        <v>3</v>
      </c>
      <c r="E25" s="51">
        <f>E18-E24</f>
        <v>106.56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1.5222857142857142</v>
      </c>
      <c r="F26" s="80">
        <f>D25*E26</f>
        <v>0</v>
      </c>
      <c r="G26" s="86">
        <f>F26+F30</f>
        <v>2</v>
      </c>
    </row>
    <row r="27" spans="1:8" x14ac:dyDescent="0.2">
      <c r="A27" s="137"/>
      <c r="B27" t="s">
        <v>124</v>
      </c>
      <c r="D27" s="11">
        <f>E25/90</f>
        <v>1.1839999999999999</v>
      </c>
      <c r="E27" s="2">
        <v>1</v>
      </c>
      <c r="F27" s="80">
        <f>D25*E27</f>
        <v>3</v>
      </c>
      <c r="G27" s="86">
        <f>F27+F31</f>
        <v>3</v>
      </c>
    </row>
    <row r="28" spans="1:8" x14ac:dyDescent="0.2">
      <c r="A28" s="137"/>
      <c r="B28" t="s">
        <v>125</v>
      </c>
      <c r="D28" s="11">
        <f>E25/60</f>
        <v>1.776</v>
      </c>
      <c r="E28" s="2"/>
      <c r="F28" s="80">
        <f>D25*E28</f>
        <v>0</v>
      </c>
      <c r="G28" s="86">
        <f t="shared" ref="G28" si="0">F28+F32</f>
        <v>0</v>
      </c>
    </row>
    <row r="29" spans="1:8" ht="37.5" customHeight="1" x14ac:dyDescent="0.2">
      <c r="A29" s="137"/>
      <c r="B29" s="144" t="s">
        <v>190</v>
      </c>
      <c r="C29" s="144"/>
      <c r="D29" s="72">
        <v>2</v>
      </c>
      <c r="E29" s="73">
        <f>E22-E24</f>
        <v>71.56</v>
      </c>
      <c r="F29" s="72" t="s">
        <v>0</v>
      </c>
    </row>
    <row r="30" spans="1:8" x14ac:dyDescent="0.2">
      <c r="A30" s="137"/>
      <c r="B30" t="s">
        <v>122</v>
      </c>
      <c r="D30">
        <f>E29/70</f>
        <v>1.0222857142857142</v>
      </c>
      <c r="E30">
        <v>1</v>
      </c>
      <c r="F30" s="80">
        <f>D29*E30</f>
        <v>2</v>
      </c>
    </row>
    <row r="31" spans="1:8" x14ac:dyDescent="0.2">
      <c r="B31" t="s">
        <v>124</v>
      </c>
      <c r="D31">
        <f>E29/90</f>
        <v>0.7951111111111111</v>
      </c>
      <c r="F31" s="80">
        <f>D29*E31</f>
        <v>0</v>
      </c>
    </row>
    <row r="32" spans="1:8" x14ac:dyDescent="0.2">
      <c r="B32" t="s">
        <v>125</v>
      </c>
      <c r="D32">
        <f>E29/60</f>
        <v>1.1926666666666668</v>
      </c>
      <c r="F32" s="80">
        <f>D29*E32</f>
        <v>0</v>
      </c>
    </row>
    <row r="34" spans="2:7" x14ac:dyDescent="0.2">
      <c r="B34" s="40" t="s">
        <v>123</v>
      </c>
      <c r="C34" s="40"/>
      <c r="D34" s="40"/>
      <c r="E34" s="56">
        <f>SUM(G26:G28)</f>
        <v>5</v>
      </c>
    </row>
    <row r="35" spans="2:7" x14ac:dyDescent="0.2">
      <c r="B35" t="s">
        <v>126</v>
      </c>
      <c r="D35" s="11">
        <f>E34*0.25</f>
        <v>1.25</v>
      </c>
      <c r="E35">
        <v>2</v>
      </c>
    </row>
    <row r="37" spans="2:7" x14ac:dyDescent="0.2">
      <c r="B37" s="16" t="s">
        <v>64</v>
      </c>
      <c r="C37" s="16"/>
      <c r="D37" s="16"/>
      <c r="E37" s="16"/>
      <c r="F37" s="16"/>
    </row>
    <row r="38" spans="2:7" x14ac:dyDescent="0.2">
      <c r="B38" s="40"/>
      <c r="C38" s="40"/>
      <c r="D38" s="40"/>
      <c r="E38" s="40"/>
      <c r="F38" s="40"/>
      <c r="G38" s="40"/>
    </row>
    <row r="40" spans="2:7" x14ac:dyDescent="0.2">
      <c r="B40" t="s">
        <v>28</v>
      </c>
      <c r="E40" s="113">
        <v>5900000</v>
      </c>
      <c r="G40" s="40"/>
    </row>
    <row r="41" spans="2:7" x14ac:dyDescent="0.2">
      <c r="B41" t="s">
        <v>107</v>
      </c>
      <c r="E41" s="84">
        <f>(E40-DATOS!L66)*DATOS!M66</f>
        <v>189825.24231000003</v>
      </c>
    </row>
    <row r="42" spans="2:7" x14ac:dyDescent="0.2">
      <c r="B42" t="s">
        <v>65</v>
      </c>
      <c r="E42" s="84">
        <f>G60*DATOS!H31</f>
        <v>8394868.8000000007</v>
      </c>
      <c r="G42" s="46"/>
    </row>
    <row r="43" spans="2:7" x14ac:dyDescent="0.2">
      <c r="B43" t="s">
        <v>67</v>
      </c>
      <c r="E43" s="84">
        <f>E42*DATOS!B39</f>
        <v>671589.50400000007</v>
      </c>
    </row>
    <row r="44" spans="2:7" x14ac:dyDescent="0.2">
      <c r="B44" t="s">
        <v>86</v>
      </c>
      <c r="E44" s="84">
        <f>E42*DATOS!B49</f>
        <v>587640.81600000011</v>
      </c>
    </row>
    <row r="45" spans="2:7" x14ac:dyDescent="0.2">
      <c r="B45" t="s">
        <v>68</v>
      </c>
      <c r="E45" s="84">
        <f>E42*DATOS!B83</f>
        <v>545666.47200000007</v>
      </c>
    </row>
    <row r="46" spans="2:7" x14ac:dyDescent="0.2">
      <c r="B46" t="s">
        <v>129</v>
      </c>
      <c r="E46" s="84">
        <f>E42*DATOS!B91</f>
        <v>1259230.32</v>
      </c>
    </row>
    <row r="47" spans="2:7" x14ac:dyDescent="0.2">
      <c r="E47" s="84"/>
    </row>
    <row r="48" spans="2:7" x14ac:dyDescent="0.2">
      <c r="B48" s="54" t="s">
        <v>69</v>
      </c>
      <c r="C48" s="54"/>
      <c r="D48" s="54"/>
      <c r="E48" s="103">
        <f>SUM(E40:E46)</f>
        <v>17548821.154309999</v>
      </c>
    </row>
    <row r="49" spans="2:13" ht="34" x14ac:dyDescent="0.2">
      <c r="G49" s="110" t="s">
        <v>104</v>
      </c>
    </row>
    <row r="50" spans="2:13" x14ac:dyDescent="0.2">
      <c r="B50" s="40"/>
      <c r="C50" s="40" t="s">
        <v>120</v>
      </c>
      <c r="M50" s="86"/>
    </row>
    <row r="51" spans="2:13" ht="85" x14ac:dyDescent="0.2">
      <c r="B51" s="12"/>
      <c r="C51" s="13" t="s">
        <v>46</v>
      </c>
      <c r="D51" s="13" t="s">
        <v>47</v>
      </c>
      <c r="E51" s="13" t="s">
        <v>48</v>
      </c>
      <c r="M51" s="86"/>
    </row>
    <row r="52" spans="2:13" x14ac:dyDescent="0.2">
      <c r="B52" s="12" t="s">
        <v>49</v>
      </c>
      <c r="C52" s="12"/>
      <c r="D52" s="12"/>
      <c r="E52" s="44">
        <f>E35*13*1.3</f>
        <v>33.800000000000004</v>
      </c>
      <c r="I52" s="6"/>
      <c r="J52" s="6"/>
      <c r="K52" s="108"/>
      <c r="M52" s="86"/>
    </row>
    <row r="53" spans="2:13" x14ac:dyDescent="0.2">
      <c r="B53" s="12" t="s">
        <v>50</v>
      </c>
      <c r="C53" s="43">
        <f>($E$28*60)+($E$26*70)+($E$27*90)</f>
        <v>90</v>
      </c>
      <c r="D53" s="44">
        <f>$E$24</f>
        <v>11.840000000000002</v>
      </c>
      <c r="E53" s="12"/>
      <c r="I53" s="6"/>
      <c r="J53" s="6"/>
      <c r="K53" s="108"/>
      <c r="M53" s="86"/>
    </row>
    <row r="54" spans="2:13" x14ac:dyDescent="0.2">
      <c r="B54" s="12" t="s">
        <v>51</v>
      </c>
      <c r="C54" s="43">
        <f t="shared" ref="C54:C55" si="1">($E$28*60)+($E$26*70)+($E$27*90)</f>
        <v>90</v>
      </c>
      <c r="D54" s="44">
        <f>$E$24</f>
        <v>11.840000000000002</v>
      </c>
      <c r="E54" s="12"/>
      <c r="I54" s="6"/>
      <c r="J54" s="6"/>
      <c r="K54" s="108"/>
      <c r="M54" s="86"/>
    </row>
    <row r="55" spans="2:13" x14ac:dyDescent="0.2">
      <c r="B55" s="12" t="s">
        <v>52</v>
      </c>
      <c r="C55" s="43">
        <f t="shared" si="1"/>
        <v>90</v>
      </c>
      <c r="D55" s="44">
        <f>$E$24</f>
        <v>11.840000000000002</v>
      </c>
      <c r="E55" s="12"/>
      <c r="I55" s="6"/>
      <c r="J55" s="6"/>
      <c r="K55" s="108"/>
      <c r="M55" s="86"/>
    </row>
    <row r="56" spans="2:13" x14ac:dyDescent="0.2">
      <c r="B56" s="12" t="s">
        <v>53</v>
      </c>
      <c r="C56" s="43">
        <f t="shared" ref="C56:C57" si="2">($E$30*70)+($E$31*90)+($E$32*60)</f>
        <v>70</v>
      </c>
      <c r="D56" s="44">
        <f>$E$24</f>
        <v>11.840000000000002</v>
      </c>
      <c r="E56" s="12"/>
      <c r="I56" s="6"/>
      <c r="J56" s="6"/>
      <c r="K56" s="108"/>
      <c r="M56" s="86"/>
    </row>
    <row r="57" spans="2:13" x14ac:dyDescent="0.2">
      <c r="B57" s="12" t="s">
        <v>54</v>
      </c>
      <c r="C57" s="43">
        <f t="shared" si="2"/>
        <v>70</v>
      </c>
      <c r="D57" s="44">
        <f t="shared" ref="D57" si="3">$E$24</f>
        <v>11.840000000000002</v>
      </c>
      <c r="E57" s="12"/>
      <c r="I57" s="6"/>
      <c r="J57" s="6"/>
      <c r="K57" s="108"/>
      <c r="M57" s="86"/>
    </row>
    <row r="58" spans="2:13" x14ac:dyDescent="0.2">
      <c r="B58" s="12" t="s">
        <v>55</v>
      </c>
      <c r="C58" s="43"/>
      <c r="D58" s="44"/>
      <c r="E58" s="12"/>
      <c r="I58" s="6"/>
      <c r="J58" s="6"/>
      <c r="K58" s="108"/>
      <c r="M58" s="86"/>
    </row>
    <row r="59" spans="2:13" x14ac:dyDescent="0.2">
      <c r="B59" s="12" t="s">
        <v>56</v>
      </c>
      <c r="C59" s="43"/>
      <c r="D59" s="44"/>
      <c r="E59" s="12"/>
      <c r="G59" s="91" t="s">
        <v>239</v>
      </c>
      <c r="I59" s="6"/>
      <c r="J59" s="6"/>
      <c r="K59" s="108"/>
      <c r="M59" s="86"/>
    </row>
    <row r="60" spans="2:13" x14ac:dyDescent="0.2">
      <c r="B60" s="12" t="s">
        <v>57</v>
      </c>
      <c r="C60" s="43"/>
      <c r="D60" s="44"/>
      <c r="E60" s="12"/>
      <c r="G60" s="90">
        <f>C63+D63+E63</f>
        <v>503</v>
      </c>
      <c r="I60" s="6"/>
      <c r="J60" s="6"/>
      <c r="K60" s="108"/>
      <c r="M60" s="86"/>
    </row>
    <row r="61" spans="2:13" x14ac:dyDescent="0.2">
      <c r="B61" s="12" t="s">
        <v>58</v>
      </c>
      <c r="C61" s="43"/>
      <c r="D61" s="44"/>
      <c r="E61" s="12"/>
      <c r="I61" s="6"/>
      <c r="J61" s="6"/>
      <c r="K61" s="108"/>
      <c r="M61" s="86"/>
    </row>
    <row r="62" spans="2:13" x14ac:dyDescent="0.2">
      <c r="B62" s="14" t="s">
        <v>59</v>
      </c>
      <c r="C62" s="43"/>
      <c r="D62" s="44"/>
      <c r="E62" s="14"/>
      <c r="G62" s="76" t="s">
        <v>62</v>
      </c>
      <c r="I62" s="6"/>
      <c r="J62" s="6"/>
      <c r="K62" s="108"/>
      <c r="M62" s="86"/>
    </row>
    <row r="63" spans="2:13" x14ac:dyDescent="0.2">
      <c r="B63" s="12" t="s">
        <v>25</v>
      </c>
      <c r="C63" s="63">
        <f>SUM(C52:C62)</f>
        <v>410</v>
      </c>
      <c r="D63" s="63">
        <f t="shared" ref="D63:E63" si="4">SUM(D52:D62)</f>
        <v>59.20000000000001</v>
      </c>
      <c r="E63" s="64">
        <f t="shared" si="4"/>
        <v>33.800000000000004</v>
      </c>
      <c r="G63" s="76">
        <f>SUM(C63:D63)</f>
        <v>469.2</v>
      </c>
      <c r="I63" s="6"/>
      <c r="J63" s="6"/>
      <c r="K63" s="108"/>
      <c r="M63" s="86"/>
    </row>
    <row r="64" spans="2:13" x14ac:dyDescent="0.2">
      <c r="I64" s="6"/>
      <c r="J64" s="6"/>
      <c r="K64" s="108"/>
      <c r="M64" s="86"/>
    </row>
    <row r="65" spans="2:7" x14ac:dyDescent="0.2">
      <c r="B65" s="16" t="s">
        <v>70</v>
      </c>
      <c r="C65" s="16"/>
      <c r="D65" s="16"/>
      <c r="E65" s="16"/>
      <c r="F65" s="16"/>
    </row>
    <row r="67" spans="2:7" x14ac:dyDescent="0.2">
      <c r="B67" t="s">
        <v>108</v>
      </c>
      <c r="E67" s="58">
        <f>E48/C63</f>
        <v>42802.002815390239</v>
      </c>
    </row>
    <row r="68" spans="2:7" x14ac:dyDescent="0.2">
      <c r="B68" s="40" t="s">
        <v>127</v>
      </c>
      <c r="C68" s="40"/>
      <c r="D68" s="40"/>
      <c r="E68" s="88">
        <f>E67*90*D68</f>
        <v>0</v>
      </c>
      <c r="G68" s="35" t="s">
        <v>223</v>
      </c>
    </row>
    <row r="69" spans="2:7" x14ac:dyDescent="0.2">
      <c r="B69" s="40" t="s">
        <v>128</v>
      </c>
      <c r="C69" s="40"/>
      <c r="D69" s="52">
        <v>1</v>
      </c>
      <c r="E69" s="88">
        <f>E67*70*D69</f>
        <v>2996140.1970773167</v>
      </c>
      <c r="G69" s="109">
        <v>1020000</v>
      </c>
    </row>
    <row r="70" spans="2:7" x14ac:dyDescent="0.2">
      <c r="B70" s="40" t="s">
        <v>110</v>
      </c>
      <c r="C70" s="40"/>
      <c r="D70" s="74"/>
      <c r="E70" s="88">
        <f>E67*60*D70</f>
        <v>0</v>
      </c>
      <c r="G70" s="109">
        <v>2040000</v>
      </c>
    </row>
  </sheetData>
  <mergeCells count="5">
    <mergeCell ref="A27:A30"/>
    <mergeCell ref="G5:G6"/>
    <mergeCell ref="B18:C18"/>
    <mergeCell ref="B25:C25"/>
    <mergeCell ref="B29:C29"/>
  </mergeCells>
  <pageMargins left="0.7" right="0.7" top="0.75" bottom="0.75" header="0.3" footer="0.3"/>
  <pageSetup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030A-AB4A-4C8C-94EF-E4CD6F817CAE}">
  <sheetPr>
    <tabColor theme="7" tint="0.79998168889431442"/>
  </sheetPr>
  <dimension ref="A1:K71"/>
  <sheetViews>
    <sheetView showGridLines="0" zoomScale="92" zoomScaleNormal="60" workbookViewId="0">
      <selection activeCell="I65" sqref="I65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236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195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407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2.4</v>
      </c>
    </row>
    <row r="8" spans="1:7" x14ac:dyDescent="0.2">
      <c r="B8" t="s">
        <v>93</v>
      </c>
      <c r="E8" s="2">
        <v>2.4</v>
      </c>
    </row>
    <row r="9" spans="1:7" x14ac:dyDescent="0.2">
      <c r="B9" t="s">
        <v>33</v>
      </c>
      <c r="E9" s="2">
        <v>24</v>
      </c>
      <c r="F9" t="s">
        <v>34</v>
      </c>
    </row>
    <row r="10" spans="1:7" x14ac:dyDescent="0.2">
      <c r="B10" t="s">
        <v>95</v>
      </c>
      <c r="E10" s="2" t="s">
        <v>174</v>
      </c>
    </row>
    <row r="11" spans="1:7" x14ac:dyDescent="0.2">
      <c r="B11" t="s">
        <v>116</v>
      </c>
      <c r="E11" s="2" t="s">
        <v>197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196</v>
      </c>
    </row>
    <row r="18" spans="1:8" ht="47.25" customHeight="1" x14ac:dyDescent="0.2">
      <c r="B18" s="131" t="s">
        <v>119</v>
      </c>
      <c r="C18" s="131"/>
      <c r="E18" s="11">
        <f>E5*E6</f>
        <v>325.60000000000002</v>
      </c>
      <c r="F18" t="s">
        <v>0</v>
      </c>
      <c r="G18" s="46"/>
    </row>
    <row r="19" spans="1:8" x14ac:dyDescent="0.2">
      <c r="B19" t="s">
        <v>94</v>
      </c>
      <c r="E19" s="82">
        <f>E5*(E7+E8)</f>
        <v>1953.6</v>
      </c>
      <c r="F19" t="s">
        <v>0</v>
      </c>
    </row>
    <row r="20" spans="1:8" x14ac:dyDescent="0.2">
      <c r="B20" t="s">
        <v>39</v>
      </c>
      <c r="D20" s="11">
        <f>E19/E18</f>
        <v>5.9999999999999991</v>
      </c>
      <c r="E20" s="11">
        <f>D20</f>
        <v>5.9999999999999991</v>
      </c>
      <c r="F20" t="s">
        <v>40</v>
      </c>
    </row>
    <row r="21" spans="1:8" x14ac:dyDescent="0.2">
      <c r="B21" t="s">
        <v>101</v>
      </c>
      <c r="E21">
        <f>E20*3</f>
        <v>17.999999999999996</v>
      </c>
      <c r="F21" t="s">
        <v>34</v>
      </c>
      <c r="G21" s="46"/>
      <c r="H21" t="s">
        <v>106</v>
      </c>
    </row>
    <row r="22" spans="1:8" ht="34" customHeight="1" x14ac:dyDescent="0.2">
      <c r="B22" s="5" t="s">
        <v>102</v>
      </c>
      <c r="C22" s="5"/>
      <c r="E22" s="11">
        <f>E18-(5*9.7)</f>
        <v>277.10000000000002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32.56</v>
      </c>
      <c r="F24" t="s">
        <v>0</v>
      </c>
      <c r="G24" s="5"/>
    </row>
    <row r="25" spans="1:8" ht="68" x14ac:dyDescent="0.2">
      <c r="B25" s="48" t="s">
        <v>198</v>
      </c>
      <c r="C25" s="48"/>
      <c r="D25" s="49">
        <v>4</v>
      </c>
      <c r="E25" s="51">
        <f>E18-E24</f>
        <v>293.04000000000002</v>
      </c>
      <c r="F25" s="49" t="s">
        <v>0</v>
      </c>
      <c r="G25" s="124" t="s">
        <v>233</v>
      </c>
    </row>
    <row r="26" spans="1:8" x14ac:dyDescent="0.2">
      <c r="B26" t="s">
        <v>122</v>
      </c>
      <c r="D26" s="11">
        <f>E25/70</f>
        <v>4.1862857142857148</v>
      </c>
      <c r="E26">
        <v>4</v>
      </c>
      <c r="F26" s="80">
        <f>$D$25*E26</f>
        <v>16</v>
      </c>
      <c r="G26" s="86">
        <f>F26+F30</f>
        <v>16</v>
      </c>
    </row>
    <row r="27" spans="1:8" x14ac:dyDescent="0.2">
      <c r="A27" s="137"/>
      <c r="B27" t="s">
        <v>124</v>
      </c>
      <c r="D27" s="11">
        <f>E25/90</f>
        <v>3.2560000000000002</v>
      </c>
      <c r="E27" s="2"/>
      <c r="F27" s="80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4.8840000000000003</v>
      </c>
      <c r="E28" s="2"/>
      <c r="F28" s="80">
        <f>$D$25*E28</f>
        <v>0</v>
      </c>
      <c r="G28" s="86">
        <f>F28+F32</f>
        <v>8</v>
      </c>
    </row>
    <row r="29" spans="1:8" ht="68" x14ac:dyDescent="0.2">
      <c r="A29" s="137"/>
      <c r="B29" s="71" t="s">
        <v>199</v>
      </c>
      <c r="C29" s="71"/>
      <c r="D29" s="72">
        <v>2</v>
      </c>
      <c r="E29" s="73">
        <f>E22-E24</f>
        <v>244.54000000000002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3.4934285714285718</v>
      </c>
      <c r="F30" s="80">
        <f>$D$29*E30</f>
        <v>0</v>
      </c>
    </row>
    <row r="31" spans="1:8" x14ac:dyDescent="0.2">
      <c r="B31" t="s">
        <v>124</v>
      </c>
      <c r="D31">
        <f>E29/90</f>
        <v>2.7171111111111115</v>
      </c>
      <c r="F31" s="80">
        <f>$D$29*E31</f>
        <v>0</v>
      </c>
    </row>
    <row r="32" spans="1:8" x14ac:dyDescent="0.2">
      <c r="B32" t="s">
        <v>125</v>
      </c>
      <c r="D32">
        <f>E29/60</f>
        <v>4.0756666666666668</v>
      </c>
      <c r="E32">
        <v>4</v>
      </c>
      <c r="F32" s="80">
        <f>$D$29*E32</f>
        <v>8</v>
      </c>
    </row>
    <row r="34" spans="2:9" x14ac:dyDescent="0.2">
      <c r="B34" s="40" t="s">
        <v>123</v>
      </c>
      <c r="C34" s="40"/>
      <c r="D34" s="40"/>
      <c r="E34" s="56">
        <f>SUM(G26:G28)</f>
        <v>24</v>
      </c>
    </row>
    <row r="35" spans="2:9" x14ac:dyDescent="0.2">
      <c r="B35" t="s">
        <v>126</v>
      </c>
      <c r="D35" s="11">
        <f>E34*0.25</f>
        <v>6</v>
      </c>
      <c r="E35">
        <v>6</v>
      </c>
    </row>
    <row r="36" spans="2:9" x14ac:dyDescent="0.2">
      <c r="G36" s="40"/>
      <c r="H36" s="40"/>
    </row>
    <row r="37" spans="2:9" x14ac:dyDescent="0.2">
      <c r="G37" s="40"/>
      <c r="H37" s="40"/>
    </row>
    <row r="38" spans="2:9" x14ac:dyDescent="0.2">
      <c r="B38" s="16" t="s">
        <v>64</v>
      </c>
      <c r="C38" s="16"/>
      <c r="D38" s="16"/>
      <c r="E38" s="16"/>
      <c r="F38" s="16"/>
      <c r="G38" s="40"/>
      <c r="H38" s="40"/>
    </row>
    <row r="39" spans="2:9" ht="15.75" customHeight="1" x14ac:dyDescent="0.2">
      <c r="B39" s="40"/>
      <c r="C39" s="40"/>
      <c r="D39" s="40"/>
      <c r="E39" s="40"/>
      <c r="F39" s="40"/>
      <c r="G39" s="136" t="s">
        <v>104</v>
      </c>
      <c r="H39" s="5"/>
      <c r="I39" s="5"/>
    </row>
    <row r="40" spans="2:9" x14ac:dyDescent="0.2">
      <c r="G40" s="136"/>
    </row>
    <row r="41" spans="2:9" x14ac:dyDescent="0.2">
      <c r="B41" t="s">
        <v>28</v>
      </c>
      <c r="E41" s="113">
        <v>4500000</v>
      </c>
      <c r="G41" s="40"/>
    </row>
    <row r="42" spans="2:9" x14ac:dyDescent="0.2">
      <c r="B42" t="s">
        <v>107</v>
      </c>
      <c r="E42" s="84">
        <f>(E41-DATOS!L65)*DATOS!M65</f>
        <v>141113.68831999999</v>
      </c>
    </row>
    <row r="43" spans="2:9" x14ac:dyDescent="0.2">
      <c r="B43" t="s">
        <v>65</v>
      </c>
      <c r="E43" s="84">
        <f>G61*DATOS!H31</f>
        <v>32166867.456000008</v>
      </c>
      <c r="G43" s="46"/>
    </row>
    <row r="44" spans="2:9" x14ac:dyDescent="0.2">
      <c r="B44" t="s">
        <v>67</v>
      </c>
      <c r="E44" s="84">
        <f>E43*DATOS!B39</f>
        <v>2573349.3964800006</v>
      </c>
    </row>
    <row r="45" spans="2:9" x14ac:dyDescent="0.2">
      <c r="B45" t="s">
        <v>86</v>
      </c>
      <c r="E45" s="84">
        <f>E43*DATOS!B49</f>
        <v>2251680.7219200009</v>
      </c>
    </row>
    <row r="46" spans="2:9" x14ac:dyDescent="0.2">
      <c r="B46" t="s">
        <v>68</v>
      </c>
      <c r="E46" s="84">
        <f>E43*DATOS!B83</f>
        <v>2090846.3846400005</v>
      </c>
    </row>
    <row r="47" spans="2:9" x14ac:dyDescent="0.2">
      <c r="B47" t="s">
        <v>129</v>
      </c>
      <c r="E47" s="84">
        <f>E43*DATOS!B91</f>
        <v>4825030.118400001</v>
      </c>
    </row>
    <row r="48" spans="2:9" x14ac:dyDescent="0.2">
      <c r="E48" s="84"/>
    </row>
    <row r="49" spans="2:11" x14ac:dyDescent="0.2">
      <c r="B49" s="54" t="s">
        <v>69</v>
      </c>
      <c r="C49" s="54"/>
      <c r="D49" s="54"/>
      <c r="E49" s="103">
        <f>SUM(E41:E47)</f>
        <v>48548887.765760012</v>
      </c>
    </row>
    <row r="51" spans="2:11" x14ac:dyDescent="0.2">
      <c r="B51" s="40"/>
      <c r="C51" s="40" t="s">
        <v>120</v>
      </c>
    </row>
    <row r="52" spans="2:11" ht="85" x14ac:dyDescent="0.2">
      <c r="B52" s="12"/>
      <c r="C52" s="13" t="s">
        <v>46</v>
      </c>
      <c r="D52" s="13" t="s">
        <v>47</v>
      </c>
      <c r="E52" s="13" t="s">
        <v>48</v>
      </c>
    </row>
    <row r="53" spans="2:11" x14ac:dyDescent="0.2">
      <c r="B53" s="12" t="s">
        <v>49</v>
      </c>
      <c r="C53" s="12"/>
      <c r="D53" s="12"/>
      <c r="E53" s="44">
        <f>E35*20*1.1</f>
        <v>132</v>
      </c>
      <c r="I53" s="6"/>
      <c r="J53" s="6"/>
      <c r="K53" s="108"/>
    </row>
    <row r="54" spans="2:11" x14ac:dyDescent="0.2">
      <c r="B54" s="12" t="s">
        <v>50</v>
      </c>
      <c r="C54" s="43">
        <f>($E$28*60)+($E$26*70)+($E$27*90)</f>
        <v>280</v>
      </c>
      <c r="D54" s="44">
        <f>$E$24</f>
        <v>32.56</v>
      </c>
      <c r="E54" s="12"/>
      <c r="I54" s="6"/>
      <c r="J54" s="6"/>
      <c r="K54" s="108"/>
    </row>
    <row r="55" spans="2:11" x14ac:dyDescent="0.2">
      <c r="B55" s="12" t="s">
        <v>51</v>
      </c>
      <c r="C55" s="43">
        <f t="shared" ref="C55:C57" si="0">($E$28*60)+($E$26*70)+($E$27*90)</f>
        <v>280</v>
      </c>
      <c r="D55" s="44">
        <f>$E$24</f>
        <v>32.56</v>
      </c>
      <c r="E55" s="12"/>
      <c r="I55" s="6"/>
      <c r="J55" s="6"/>
      <c r="K55" s="108"/>
    </row>
    <row r="56" spans="2:11" x14ac:dyDescent="0.2">
      <c r="B56" s="12" t="s">
        <v>52</v>
      </c>
      <c r="C56" s="43">
        <f t="shared" si="0"/>
        <v>280</v>
      </c>
      <c r="D56" s="44">
        <f>$E$24</f>
        <v>32.56</v>
      </c>
      <c r="E56" s="12"/>
      <c r="I56" s="6"/>
      <c r="J56" s="6"/>
      <c r="K56" s="108"/>
    </row>
    <row r="57" spans="2:11" x14ac:dyDescent="0.2">
      <c r="B57" s="12" t="s">
        <v>53</v>
      </c>
      <c r="C57" s="43">
        <f t="shared" si="0"/>
        <v>280</v>
      </c>
      <c r="D57" s="44">
        <f>$E$24</f>
        <v>32.56</v>
      </c>
      <c r="E57" s="12"/>
      <c r="I57" s="6"/>
      <c r="J57" s="6"/>
      <c r="K57" s="108"/>
    </row>
    <row r="58" spans="2:11" x14ac:dyDescent="0.2">
      <c r="B58" s="12" t="s">
        <v>54</v>
      </c>
      <c r="C58" s="43">
        <f>($E$30*70)+($E$31*90)+($E$32*60)</f>
        <v>240</v>
      </c>
      <c r="D58" s="44">
        <f t="shared" ref="D58:D59" si="1">$E$24</f>
        <v>32.56</v>
      </c>
      <c r="E58" s="12"/>
      <c r="I58" s="6"/>
      <c r="J58" s="6"/>
      <c r="K58" s="108"/>
    </row>
    <row r="59" spans="2:11" x14ac:dyDescent="0.2">
      <c r="B59" s="12" t="s">
        <v>55</v>
      </c>
      <c r="C59" s="43">
        <f>($E$30*70)+($E$31*90)+($E$32*60)</f>
        <v>240</v>
      </c>
      <c r="D59" s="44">
        <f t="shared" si="1"/>
        <v>32.56</v>
      </c>
      <c r="E59" s="12"/>
      <c r="I59" s="6"/>
      <c r="J59" s="6"/>
      <c r="K59" s="108"/>
    </row>
    <row r="60" spans="2:11" x14ac:dyDescent="0.2">
      <c r="B60" s="12" t="s">
        <v>56</v>
      </c>
      <c r="C60" s="43"/>
      <c r="D60" s="44"/>
      <c r="E60" s="12"/>
      <c r="G60" s="91" t="s">
        <v>239</v>
      </c>
      <c r="I60" s="6"/>
      <c r="J60" s="6"/>
      <c r="K60" s="108"/>
    </row>
    <row r="61" spans="2:11" x14ac:dyDescent="0.2">
      <c r="B61" s="12" t="s">
        <v>57</v>
      </c>
      <c r="C61" s="43"/>
      <c r="D61" s="44"/>
      <c r="E61" s="12"/>
      <c r="G61" s="90">
        <f>C64+D64+E64</f>
        <v>1927.3600000000001</v>
      </c>
      <c r="I61" s="6"/>
      <c r="J61" s="6"/>
      <c r="K61" s="108"/>
    </row>
    <row r="62" spans="2:11" x14ac:dyDescent="0.2">
      <c r="B62" s="12" t="s">
        <v>58</v>
      </c>
      <c r="C62" s="43"/>
      <c r="D62" s="44"/>
      <c r="E62" s="12"/>
      <c r="I62" s="6"/>
      <c r="J62" s="6"/>
      <c r="K62" s="108"/>
    </row>
    <row r="63" spans="2:11" x14ac:dyDescent="0.2">
      <c r="B63" s="14" t="s">
        <v>59</v>
      </c>
      <c r="C63" s="43"/>
      <c r="D63" s="44"/>
      <c r="E63" s="14"/>
      <c r="G63" s="83" t="s">
        <v>62</v>
      </c>
      <c r="I63" s="6"/>
      <c r="J63" s="6"/>
      <c r="K63" s="108"/>
    </row>
    <row r="64" spans="2:11" x14ac:dyDescent="0.2">
      <c r="B64" s="12" t="s">
        <v>25</v>
      </c>
      <c r="C64" s="63">
        <f>SUM(C53:C63)</f>
        <v>1600</v>
      </c>
      <c r="D64" s="63">
        <f t="shared" ref="D64:E64" si="2">SUM(D53:D63)</f>
        <v>195.36</v>
      </c>
      <c r="E64" s="64">
        <f t="shared" si="2"/>
        <v>132</v>
      </c>
      <c r="G64" s="83">
        <f>SUM(C64:D64)</f>
        <v>1795.3600000000001</v>
      </c>
      <c r="I64" s="6"/>
      <c r="J64" s="6"/>
      <c r="K64" s="108"/>
    </row>
    <row r="66" spans="2:7" x14ac:dyDescent="0.2">
      <c r="B66" s="16" t="s">
        <v>70</v>
      </c>
      <c r="C66" s="16"/>
      <c r="D66" s="16"/>
      <c r="E66" s="16"/>
      <c r="F66" s="16"/>
    </row>
    <row r="68" spans="2:7" x14ac:dyDescent="0.2">
      <c r="B68" t="s">
        <v>108</v>
      </c>
      <c r="E68" s="58">
        <f>E49/C64</f>
        <v>30343.054853600006</v>
      </c>
    </row>
    <row r="69" spans="2:7" x14ac:dyDescent="0.2">
      <c r="B69" s="40" t="s">
        <v>127</v>
      </c>
      <c r="C69" s="40"/>
      <c r="D69" s="40"/>
      <c r="E69" s="88">
        <f>E68*90*D69</f>
        <v>0</v>
      </c>
      <c r="G69" s="3" t="s">
        <v>223</v>
      </c>
    </row>
    <row r="70" spans="2:7" x14ac:dyDescent="0.2">
      <c r="B70" s="40" t="s">
        <v>128</v>
      </c>
      <c r="C70" s="40"/>
      <c r="D70" s="52">
        <v>1</v>
      </c>
      <c r="E70" s="88">
        <f>E68*70*D70</f>
        <v>2124013.8397520003</v>
      </c>
      <c r="G70" s="77">
        <v>1020000</v>
      </c>
    </row>
    <row r="71" spans="2:7" x14ac:dyDescent="0.2">
      <c r="B71" s="40" t="s">
        <v>110</v>
      </c>
      <c r="C71" s="40"/>
      <c r="D71" s="74">
        <v>1</v>
      </c>
      <c r="E71" s="114">
        <f>E68*60*D71</f>
        <v>1820583.2912160004</v>
      </c>
      <c r="G71" s="77">
        <v>2040000</v>
      </c>
    </row>
  </sheetData>
  <mergeCells count="4">
    <mergeCell ref="A27:A30"/>
    <mergeCell ref="G5:G6"/>
    <mergeCell ref="G39:G40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75D00-89AB-4683-B693-BE1A5A3BDEFB}">
  <sheetPr>
    <tabColor theme="2" tint="-0.249977111117893"/>
    <pageSetUpPr fitToPage="1"/>
  </sheetPr>
  <dimension ref="A1:L64"/>
  <sheetViews>
    <sheetView showGridLines="0" zoomScale="75" zoomScaleNormal="60" workbookViewId="0">
      <selection activeCell="E36" sqref="E36"/>
    </sheetView>
  </sheetViews>
  <sheetFormatPr baseColWidth="10" defaultRowHeight="16" x14ac:dyDescent="0.2"/>
  <cols>
    <col min="1" max="1" width="7.1640625" customWidth="1"/>
    <col min="2" max="2" width="23" customWidth="1"/>
    <col min="3" max="3" width="20.5" customWidth="1"/>
    <col min="4" max="4" width="11.5" customWidth="1"/>
    <col min="5" max="5" width="25.6640625" customWidth="1"/>
    <col min="6" max="6" width="9.6640625" customWidth="1"/>
    <col min="7" max="7" width="41.83203125" customWidth="1"/>
    <col min="8" max="8" width="20.6640625" customWidth="1"/>
    <col min="9" max="9" width="21.33203125" customWidth="1"/>
    <col min="10" max="10" width="18.6640625" customWidth="1"/>
    <col min="11" max="11" width="17.83203125" customWidth="1"/>
    <col min="12" max="12" width="22.33203125" customWidth="1"/>
    <col min="13" max="13" width="18.83203125" customWidth="1"/>
  </cols>
  <sheetData>
    <row r="1" spans="1:7" x14ac:dyDescent="0.2">
      <c r="A1" s="40" t="s">
        <v>28</v>
      </c>
      <c r="B1" s="41" t="s">
        <v>237</v>
      </c>
      <c r="C1" s="42" t="s">
        <v>92</v>
      </c>
    </row>
    <row r="2" spans="1:7" x14ac:dyDescent="0.2">
      <c r="B2" s="40" t="s">
        <v>213</v>
      </c>
      <c r="C2" s="42" t="s">
        <v>238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162</v>
      </c>
      <c r="F5" t="s">
        <v>0</v>
      </c>
      <c r="G5" s="136" t="s">
        <v>60</v>
      </c>
    </row>
    <row r="6" spans="1:7" x14ac:dyDescent="0.2">
      <c r="B6" t="s">
        <v>30</v>
      </c>
      <c r="E6" s="2">
        <v>0.8</v>
      </c>
      <c r="G6" s="136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ht="34" x14ac:dyDescent="0.2">
      <c r="B11" s="5" t="s">
        <v>116</v>
      </c>
      <c r="E11" s="2" t="s">
        <v>214</v>
      </c>
      <c r="F11" t="s">
        <v>34</v>
      </c>
    </row>
    <row r="12" spans="1:7" ht="34.5" customHeight="1" x14ac:dyDescent="0.2">
      <c r="B12" t="s">
        <v>35</v>
      </c>
      <c r="D12" s="145" t="s">
        <v>117</v>
      </c>
      <c r="E12" s="145"/>
      <c r="F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D16" s="2"/>
      <c r="E16" s="2" t="s">
        <v>118</v>
      </c>
    </row>
    <row r="18" spans="2:7" ht="31.5" customHeight="1" x14ac:dyDescent="0.2">
      <c r="B18" s="131" t="s">
        <v>119</v>
      </c>
      <c r="C18" s="131"/>
      <c r="E18" s="11">
        <f>E5*E6</f>
        <v>129.6</v>
      </c>
      <c r="F18" t="s">
        <v>0</v>
      </c>
    </row>
    <row r="19" spans="2:7" x14ac:dyDescent="0.2">
      <c r="B19" t="s">
        <v>94</v>
      </c>
      <c r="E19" s="82">
        <f>E5*(E7+E8)</f>
        <v>1036.8</v>
      </c>
      <c r="F19" t="s">
        <v>0</v>
      </c>
    </row>
    <row r="20" spans="2:7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</row>
    <row r="21" spans="2:7" x14ac:dyDescent="0.2">
      <c r="B21" t="s">
        <v>101</v>
      </c>
      <c r="E21">
        <f>E20*3</f>
        <v>24</v>
      </c>
      <c r="F21" t="s">
        <v>34</v>
      </c>
      <c r="G21" t="s">
        <v>106</v>
      </c>
    </row>
    <row r="22" spans="2:7" ht="34.5" customHeight="1" x14ac:dyDescent="0.2">
      <c r="B22" s="5" t="s">
        <v>61</v>
      </c>
      <c r="C22" s="4"/>
      <c r="D22" s="4">
        <v>0.1</v>
      </c>
      <c r="E22" s="11">
        <f>E18*0.1</f>
        <v>12.96</v>
      </c>
      <c r="F22" t="s">
        <v>0</v>
      </c>
    </row>
    <row r="23" spans="2:7" ht="54.75" customHeight="1" x14ac:dyDescent="0.2">
      <c r="B23" s="130" t="s">
        <v>121</v>
      </c>
      <c r="C23" s="130"/>
      <c r="D23" s="49">
        <v>8</v>
      </c>
      <c r="E23" s="51">
        <f>E18-E22</f>
        <v>116.63999999999999</v>
      </c>
      <c r="F23" s="49" t="s">
        <v>0</v>
      </c>
    </row>
    <row r="24" spans="2:7" ht="17" x14ac:dyDescent="0.2">
      <c r="B24" s="5"/>
      <c r="D24" s="11"/>
      <c r="F24" s="46"/>
      <c r="G24" s="124" t="s">
        <v>233</v>
      </c>
    </row>
    <row r="25" spans="2:7" x14ac:dyDescent="0.2">
      <c r="B25" t="s">
        <v>122</v>
      </c>
      <c r="D25" s="11">
        <f>E23/70</f>
        <v>1.6662857142857141</v>
      </c>
      <c r="F25" s="80">
        <f>$D$23*E25</f>
        <v>0</v>
      </c>
      <c r="G25" s="86">
        <f>F25</f>
        <v>0</v>
      </c>
    </row>
    <row r="26" spans="2:7" x14ac:dyDescent="0.2">
      <c r="B26" t="s">
        <v>124</v>
      </c>
      <c r="C26" s="2"/>
      <c r="D26" s="11">
        <f>E23/90</f>
        <v>1.2959999999999998</v>
      </c>
      <c r="F26" s="80">
        <f t="shared" ref="F26:F27" si="0">$D$23*E26</f>
        <v>0</v>
      </c>
      <c r="G26" s="86">
        <f>F26</f>
        <v>0</v>
      </c>
    </row>
    <row r="27" spans="2:7" x14ac:dyDescent="0.2">
      <c r="B27" t="s">
        <v>125</v>
      </c>
      <c r="C27" s="2"/>
      <c r="D27" s="11">
        <f>E23/60</f>
        <v>1.9439999999999997</v>
      </c>
      <c r="E27">
        <v>2</v>
      </c>
      <c r="F27" s="80">
        <f t="shared" si="0"/>
        <v>16</v>
      </c>
      <c r="G27" s="86">
        <f>F27</f>
        <v>16</v>
      </c>
    </row>
    <row r="29" spans="2:7" x14ac:dyDescent="0.2">
      <c r="B29" s="40" t="s">
        <v>123</v>
      </c>
      <c r="C29" s="40"/>
      <c r="D29" s="56">
        <f>SUM(F25:F27)</f>
        <v>16</v>
      </c>
    </row>
    <row r="30" spans="2:7" x14ac:dyDescent="0.2">
      <c r="B30" t="s">
        <v>126</v>
      </c>
      <c r="D30" s="11">
        <f>D29*0.25</f>
        <v>4</v>
      </c>
      <c r="E30">
        <v>4</v>
      </c>
    </row>
    <row r="32" spans="2:7" x14ac:dyDescent="0.2">
      <c r="B32" s="16" t="s">
        <v>64</v>
      </c>
      <c r="C32" s="16"/>
      <c r="D32" s="16"/>
      <c r="E32" s="16"/>
      <c r="F32" s="16"/>
    </row>
    <row r="33" spans="2:12" x14ac:dyDescent="0.2">
      <c r="B33" s="40"/>
      <c r="C33" s="40"/>
      <c r="D33" s="40"/>
      <c r="E33" s="40"/>
      <c r="F33" s="40"/>
      <c r="G33" s="40"/>
    </row>
    <row r="34" spans="2:12" x14ac:dyDescent="0.2">
      <c r="B34" t="s">
        <v>28</v>
      </c>
      <c r="E34" s="62">
        <v>3990000</v>
      </c>
      <c r="F34" s="40"/>
    </row>
    <row r="35" spans="2:12" x14ac:dyDescent="0.2">
      <c r="B35" t="s">
        <v>107</v>
      </c>
      <c r="E35" s="84">
        <f>(E34-DATOS!L65)*DATOS!M65</f>
        <v>124793.68832</v>
      </c>
    </row>
    <row r="36" spans="2:12" x14ac:dyDescent="0.2">
      <c r="B36" t="s">
        <v>65</v>
      </c>
      <c r="E36" s="84">
        <f>G54*DATOS!H31</f>
        <v>17879234.688000001</v>
      </c>
      <c r="F36" s="46"/>
    </row>
    <row r="37" spans="2:12" x14ac:dyDescent="0.2">
      <c r="B37" t="s">
        <v>67</v>
      </c>
      <c r="E37" s="84">
        <f>E36*DATOS!B39</f>
        <v>1430338.7750400002</v>
      </c>
      <c r="G37" s="136" t="s">
        <v>104</v>
      </c>
    </row>
    <row r="38" spans="2:12" x14ac:dyDescent="0.2">
      <c r="B38" t="s">
        <v>86</v>
      </c>
      <c r="E38" s="84">
        <f>E36*DATOS!B49</f>
        <v>1251546.4281600001</v>
      </c>
      <c r="G38" s="136"/>
    </row>
    <row r="39" spans="2:12" x14ac:dyDescent="0.2">
      <c r="B39" t="s">
        <v>68</v>
      </c>
      <c r="E39" s="84">
        <f>E36*DATOS!B83</f>
        <v>1162150.2547200001</v>
      </c>
    </row>
    <row r="40" spans="2:12" x14ac:dyDescent="0.2">
      <c r="B40" t="s">
        <v>129</v>
      </c>
      <c r="E40" s="84">
        <f>E36*DATOS!B91</f>
        <v>2681885.2031999999</v>
      </c>
    </row>
    <row r="41" spans="2:12" x14ac:dyDescent="0.2">
      <c r="E41" s="84"/>
    </row>
    <row r="42" spans="2:12" x14ac:dyDescent="0.2">
      <c r="B42" s="54" t="s">
        <v>69</v>
      </c>
      <c r="C42" s="54"/>
      <c r="D42" s="54"/>
      <c r="E42" s="103">
        <f>SUM(E34:E40)</f>
        <v>28519949.037440002</v>
      </c>
      <c r="L42" s="46"/>
    </row>
    <row r="44" spans="2:12" x14ac:dyDescent="0.2">
      <c r="C44" s="40" t="s">
        <v>120</v>
      </c>
    </row>
    <row r="45" spans="2:12" ht="85" x14ac:dyDescent="0.2">
      <c r="B45" s="12"/>
      <c r="C45" s="13" t="s">
        <v>46</v>
      </c>
      <c r="D45" s="13" t="s">
        <v>47</v>
      </c>
      <c r="E45" s="13" t="s">
        <v>48</v>
      </c>
    </row>
    <row r="46" spans="2:12" x14ac:dyDescent="0.2">
      <c r="B46" s="12" t="s">
        <v>49</v>
      </c>
      <c r="C46" s="12"/>
      <c r="D46" s="12"/>
      <c r="E46" s="44">
        <f>E30*13*1.3</f>
        <v>67.600000000000009</v>
      </c>
      <c r="H46" s="6"/>
      <c r="I46" s="6"/>
      <c r="J46" s="108"/>
    </row>
    <row r="47" spans="2:12" x14ac:dyDescent="0.2">
      <c r="B47" s="12" t="s">
        <v>50</v>
      </c>
      <c r="C47" s="43">
        <f>($E$25*70)+($E$26*90)+($E$27*60)</f>
        <v>120</v>
      </c>
      <c r="D47" s="44">
        <f t="shared" ref="D47:D54" si="1">$E$22</f>
        <v>12.96</v>
      </c>
      <c r="E47" s="12"/>
      <c r="H47" s="6"/>
      <c r="I47" s="6"/>
      <c r="J47" s="108"/>
    </row>
    <row r="48" spans="2:12" x14ac:dyDescent="0.2">
      <c r="B48" s="12" t="s">
        <v>51</v>
      </c>
      <c r="C48" s="43">
        <f t="shared" ref="C48:C53" si="2">($E$25*70)+($E$26*90)+($E$27*60)</f>
        <v>120</v>
      </c>
      <c r="D48" s="44">
        <f t="shared" si="1"/>
        <v>12.96</v>
      </c>
      <c r="E48" s="12"/>
      <c r="H48" s="6"/>
      <c r="I48" s="6"/>
      <c r="J48" s="108"/>
    </row>
    <row r="49" spans="2:10" x14ac:dyDescent="0.2">
      <c r="B49" s="12" t="s">
        <v>52</v>
      </c>
      <c r="C49" s="43">
        <f t="shared" si="2"/>
        <v>120</v>
      </c>
      <c r="D49" s="44">
        <f t="shared" si="1"/>
        <v>12.96</v>
      </c>
      <c r="E49" s="12"/>
      <c r="H49" s="6"/>
      <c r="I49" s="6"/>
      <c r="J49" s="108"/>
    </row>
    <row r="50" spans="2:10" x14ac:dyDescent="0.2">
      <c r="B50" s="12" t="s">
        <v>53</v>
      </c>
      <c r="C50" s="43">
        <f t="shared" si="2"/>
        <v>120</v>
      </c>
      <c r="D50" s="44">
        <f t="shared" si="1"/>
        <v>12.96</v>
      </c>
      <c r="E50" s="12"/>
      <c r="H50" s="6"/>
      <c r="I50" s="6"/>
      <c r="J50" s="108"/>
    </row>
    <row r="51" spans="2:10" x14ac:dyDescent="0.2">
      <c r="B51" s="12" t="s">
        <v>54</v>
      </c>
      <c r="C51" s="43">
        <f t="shared" si="2"/>
        <v>120</v>
      </c>
      <c r="D51" s="44">
        <f t="shared" si="1"/>
        <v>12.96</v>
      </c>
      <c r="E51" s="12"/>
      <c r="H51" s="6"/>
      <c r="I51" s="6"/>
      <c r="J51" s="108"/>
    </row>
    <row r="52" spans="2:10" x14ac:dyDescent="0.2">
      <c r="B52" s="12" t="s">
        <v>55</v>
      </c>
      <c r="C52" s="43">
        <f t="shared" si="2"/>
        <v>120</v>
      </c>
      <c r="D52" s="44">
        <f t="shared" si="1"/>
        <v>12.96</v>
      </c>
      <c r="E52" s="12"/>
      <c r="H52" s="6"/>
      <c r="I52" s="6"/>
      <c r="J52" s="108"/>
    </row>
    <row r="53" spans="2:10" x14ac:dyDescent="0.2">
      <c r="B53" s="12" t="s">
        <v>56</v>
      </c>
      <c r="C53" s="43">
        <f t="shared" si="2"/>
        <v>120</v>
      </c>
      <c r="D53" s="44">
        <f t="shared" si="1"/>
        <v>12.96</v>
      </c>
      <c r="E53" s="12"/>
      <c r="G53" s="115" t="s">
        <v>239</v>
      </c>
      <c r="H53" s="6"/>
      <c r="I53" s="6"/>
      <c r="J53" s="108"/>
    </row>
    <row r="54" spans="2:10" x14ac:dyDescent="0.2">
      <c r="B54" s="12" t="s">
        <v>57</v>
      </c>
      <c r="C54" s="43">
        <v>60</v>
      </c>
      <c r="D54" s="44">
        <f t="shared" si="1"/>
        <v>12.96</v>
      </c>
      <c r="E54" s="12"/>
      <c r="G54" s="116">
        <f>C57+D57+E57</f>
        <v>1071.28</v>
      </c>
      <c r="H54" s="6"/>
      <c r="I54" s="6"/>
      <c r="J54" s="108"/>
    </row>
    <row r="55" spans="2:10" x14ac:dyDescent="0.2">
      <c r="B55" s="12" t="s">
        <v>58</v>
      </c>
      <c r="C55" s="43"/>
      <c r="D55" s="44"/>
      <c r="E55" s="12"/>
      <c r="H55" s="6"/>
      <c r="I55" s="6"/>
      <c r="J55" s="108"/>
    </row>
    <row r="56" spans="2:10" x14ac:dyDescent="0.2">
      <c r="B56" s="14" t="s">
        <v>59</v>
      </c>
      <c r="C56" s="43"/>
      <c r="D56" s="44"/>
      <c r="E56" s="14"/>
      <c r="G56" s="83" t="s">
        <v>62</v>
      </c>
      <c r="H56" s="6"/>
      <c r="I56" s="6"/>
      <c r="J56" s="108"/>
    </row>
    <row r="57" spans="2:10" x14ac:dyDescent="0.2">
      <c r="B57" s="12" t="s">
        <v>25</v>
      </c>
      <c r="C57" s="63">
        <f>SUM(C46:C56)</f>
        <v>900</v>
      </c>
      <c r="D57" s="63">
        <f t="shared" ref="D57:E57" si="3">SUM(D46:D56)</f>
        <v>103.68000000000004</v>
      </c>
      <c r="E57" s="64">
        <f t="shared" si="3"/>
        <v>67.600000000000009</v>
      </c>
      <c r="G57" s="83">
        <f>SUM(C57:D57)</f>
        <v>1003.6800000000001</v>
      </c>
      <c r="H57" s="6"/>
      <c r="I57" s="6"/>
      <c r="J57" s="108"/>
    </row>
    <row r="59" spans="2:10" x14ac:dyDescent="0.2">
      <c r="B59" s="16" t="s">
        <v>70</v>
      </c>
      <c r="C59" s="16"/>
      <c r="D59" s="16"/>
      <c r="E59" s="16"/>
      <c r="F59" s="16"/>
    </row>
    <row r="61" spans="2:10" x14ac:dyDescent="0.2">
      <c r="B61" t="s">
        <v>108</v>
      </c>
      <c r="E61" s="58">
        <f>E42/C57</f>
        <v>31688.832263822223</v>
      </c>
    </row>
    <row r="62" spans="2:10" x14ac:dyDescent="0.2">
      <c r="B62" s="40" t="s">
        <v>127</v>
      </c>
      <c r="C62" s="65">
        <v>0</v>
      </c>
      <c r="E62" s="53">
        <f>$E$61*90*C62</f>
        <v>0</v>
      </c>
      <c r="G62" s="3" t="s">
        <v>223</v>
      </c>
    </row>
    <row r="63" spans="2:10" x14ac:dyDescent="0.2">
      <c r="B63" s="40" t="s">
        <v>128</v>
      </c>
      <c r="C63" s="66">
        <v>0</v>
      </c>
      <c r="E63" s="53">
        <f>$E$61*70*C63</f>
        <v>0</v>
      </c>
      <c r="F63" s="46"/>
      <c r="G63" s="77">
        <v>1020000</v>
      </c>
    </row>
    <row r="64" spans="2:10" x14ac:dyDescent="0.2">
      <c r="B64" s="40" t="s">
        <v>110</v>
      </c>
      <c r="C64" s="65">
        <v>1</v>
      </c>
      <c r="E64" s="53">
        <f>$E$61*90*C64</f>
        <v>2851994.903744</v>
      </c>
      <c r="G64" s="77">
        <v>2040000</v>
      </c>
    </row>
  </sheetData>
  <mergeCells count="5">
    <mergeCell ref="B18:C18"/>
    <mergeCell ref="B23:C23"/>
    <mergeCell ref="G37:G38"/>
    <mergeCell ref="G5:G6"/>
    <mergeCell ref="D12:E12"/>
  </mergeCells>
  <pageMargins left="0.7" right="0.7" top="0.75" bottom="0.75" header="0.3" footer="0.3"/>
  <pageSetup scale="58" fitToWidth="0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1099-557C-46E2-ADD1-E2CD0C8679F1}">
  <sheetPr>
    <tabColor theme="2" tint="-0.249977111117893"/>
    <pageSetUpPr fitToPage="1"/>
  </sheetPr>
  <dimension ref="A1:P64"/>
  <sheetViews>
    <sheetView showGridLines="0" zoomScale="60" zoomScaleNormal="60" workbookViewId="0">
      <selection activeCell="I65" sqref="I65"/>
    </sheetView>
  </sheetViews>
  <sheetFormatPr baseColWidth="10" defaultRowHeight="16" x14ac:dyDescent="0.2"/>
  <cols>
    <col min="1" max="1" width="7.1640625" customWidth="1"/>
    <col min="2" max="2" width="27.33203125" customWidth="1"/>
    <col min="3" max="3" width="26.6640625" customWidth="1"/>
    <col min="4" max="4" width="10.33203125" customWidth="1"/>
    <col min="5" max="5" width="25.5" customWidth="1"/>
    <col min="6" max="6" width="8.1640625" customWidth="1"/>
    <col min="7" max="7" width="37.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.33203125" customWidth="1"/>
    <col min="14" max="14" width="18.83203125" customWidth="1"/>
  </cols>
  <sheetData>
    <row r="1" spans="1:16" x14ac:dyDescent="0.2">
      <c r="A1" s="40" t="s">
        <v>28</v>
      </c>
      <c r="B1" s="101" t="s">
        <v>241</v>
      </c>
      <c r="C1" s="101"/>
      <c r="D1" s="102" t="s">
        <v>92</v>
      </c>
      <c r="E1" s="47"/>
      <c r="F1" s="47"/>
      <c r="G1" s="47"/>
      <c r="H1" s="136"/>
      <c r="I1" s="136"/>
      <c r="J1" s="136"/>
      <c r="K1" s="136"/>
      <c r="L1" s="136"/>
      <c r="M1" s="136"/>
      <c r="N1" s="136"/>
      <c r="O1" s="136"/>
      <c r="P1" s="136"/>
    </row>
    <row r="2" spans="1:16" x14ac:dyDescent="0.2">
      <c r="B2" s="40" t="s">
        <v>217</v>
      </c>
      <c r="C2" s="40"/>
      <c r="D2" s="42" t="s">
        <v>238</v>
      </c>
      <c r="H2" s="136"/>
      <c r="I2" s="136"/>
      <c r="J2" s="136"/>
      <c r="K2" s="136"/>
      <c r="L2" s="136"/>
      <c r="M2" s="136"/>
      <c r="N2" s="136"/>
      <c r="O2" s="136"/>
      <c r="P2" s="136"/>
    </row>
    <row r="3" spans="1:16" x14ac:dyDescent="0.2">
      <c r="H3" s="5"/>
      <c r="I3" s="5"/>
      <c r="J3" s="5"/>
      <c r="K3" s="136"/>
      <c r="L3" s="136"/>
      <c r="M3" s="136"/>
      <c r="N3" s="136"/>
      <c r="O3" s="136"/>
      <c r="P3" s="136"/>
    </row>
    <row r="4" spans="1:16" x14ac:dyDescent="0.2">
      <c r="B4" s="16" t="s">
        <v>63</v>
      </c>
      <c r="C4" s="16"/>
      <c r="D4" s="16"/>
      <c r="E4" s="16"/>
      <c r="F4" s="16"/>
      <c r="G4" s="16"/>
      <c r="H4" s="136"/>
      <c r="I4" s="136"/>
      <c r="J4" s="136"/>
      <c r="K4" s="136"/>
      <c r="L4" s="136"/>
      <c r="M4" s="136"/>
      <c r="N4" s="136"/>
      <c r="O4" s="136"/>
      <c r="P4" s="136"/>
    </row>
    <row r="5" spans="1:16" x14ac:dyDescent="0.2">
      <c r="B5" t="s">
        <v>111</v>
      </c>
      <c r="E5" s="2">
        <v>900</v>
      </c>
      <c r="F5" t="s">
        <v>0</v>
      </c>
      <c r="G5" s="139" t="s">
        <v>60</v>
      </c>
    </row>
    <row r="6" spans="1:16" x14ac:dyDescent="0.2">
      <c r="B6" t="s">
        <v>30</v>
      </c>
      <c r="E6" s="2">
        <v>0.8</v>
      </c>
      <c r="G6" s="139"/>
    </row>
    <row r="7" spans="1:16" x14ac:dyDescent="0.2">
      <c r="B7" t="s">
        <v>31</v>
      </c>
      <c r="E7" s="2">
        <v>2.4</v>
      </c>
    </row>
    <row r="8" spans="1:16" x14ac:dyDescent="0.2">
      <c r="B8" t="s">
        <v>93</v>
      </c>
      <c r="E8" s="2">
        <v>2.4</v>
      </c>
    </row>
    <row r="9" spans="1:16" x14ac:dyDescent="0.2">
      <c r="B9" t="s">
        <v>33</v>
      </c>
      <c r="E9" s="2" t="s">
        <v>113</v>
      </c>
      <c r="F9" t="s">
        <v>34</v>
      </c>
    </row>
    <row r="10" spans="1:16" x14ac:dyDescent="0.2">
      <c r="B10" t="s">
        <v>95</v>
      </c>
      <c r="E10" s="2" t="s">
        <v>32</v>
      </c>
    </row>
    <row r="11" spans="1:16" x14ac:dyDescent="0.2">
      <c r="B11" t="s">
        <v>116</v>
      </c>
      <c r="E11" s="2" t="s">
        <v>218</v>
      </c>
      <c r="F11" t="s">
        <v>34</v>
      </c>
      <c r="G11" s="46"/>
    </row>
    <row r="12" spans="1:16" ht="34" x14ac:dyDescent="0.2">
      <c r="B12" t="s">
        <v>35</v>
      </c>
      <c r="E12" s="45" t="s">
        <v>117</v>
      </c>
      <c r="G12" s="46"/>
    </row>
    <row r="13" spans="1:16" x14ac:dyDescent="0.2">
      <c r="B13" t="s">
        <v>36</v>
      </c>
      <c r="E13">
        <v>0</v>
      </c>
      <c r="F13" t="s">
        <v>34</v>
      </c>
    </row>
    <row r="14" spans="1:16" x14ac:dyDescent="0.2">
      <c r="B14" t="s">
        <v>37</v>
      </c>
      <c r="E14">
        <v>0</v>
      </c>
      <c r="F14" t="s">
        <v>34</v>
      </c>
    </row>
    <row r="15" spans="1:16" x14ac:dyDescent="0.2">
      <c r="B15" t="s">
        <v>38</v>
      </c>
      <c r="E15">
        <v>3</v>
      </c>
      <c r="F15" t="s">
        <v>34</v>
      </c>
    </row>
    <row r="16" spans="1:16" x14ac:dyDescent="0.2">
      <c r="B16" t="s">
        <v>96</v>
      </c>
      <c r="E16" s="2" t="s">
        <v>118</v>
      </c>
    </row>
    <row r="18" spans="2:8" ht="31.5" customHeight="1" x14ac:dyDescent="0.2">
      <c r="B18" s="131" t="s">
        <v>119</v>
      </c>
      <c r="C18" s="131"/>
      <c r="E18" s="11">
        <f>E5*E6</f>
        <v>720</v>
      </c>
      <c r="F18" t="s">
        <v>0</v>
      </c>
      <c r="G18" s="46"/>
    </row>
    <row r="19" spans="2:8" x14ac:dyDescent="0.2">
      <c r="B19" t="s">
        <v>94</v>
      </c>
      <c r="E19" s="82">
        <f>E5*(E7+E8)</f>
        <v>4320</v>
      </c>
      <c r="F19" t="s">
        <v>0</v>
      </c>
    </row>
    <row r="20" spans="2:8" x14ac:dyDescent="0.2">
      <c r="B20" t="s">
        <v>39</v>
      </c>
      <c r="D20" s="11">
        <f>E19/E18</f>
        <v>6</v>
      </c>
      <c r="E20" s="11">
        <f>D20</f>
        <v>6</v>
      </c>
      <c r="F20" t="s">
        <v>40</v>
      </c>
      <c r="G20" s="46"/>
    </row>
    <row r="21" spans="2:8" x14ac:dyDescent="0.2">
      <c r="B21" t="s">
        <v>101</v>
      </c>
      <c r="E21">
        <f>E20*3</f>
        <v>18</v>
      </c>
      <c r="F21" t="s">
        <v>34</v>
      </c>
      <c r="G21" s="46"/>
      <c r="H21" t="s">
        <v>106</v>
      </c>
    </row>
    <row r="22" spans="2:8" x14ac:dyDescent="0.2">
      <c r="B22" t="s">
        <v>61</v>
      </c>
      <c r="D22" s="4">
        <v>0.1</v>
      </c>
      <c r="E22" s="11">
        <f>E18*0.1</f>
        <v>72</v>
      </c>
      <c r="F22" t="s">
        <v>0</v>
      </c>
      <c r="G22" s="59"/>
    </row>
    <row r="23" spans="2:8" ht="35.25" customHeight="1" x14ac:dyDescent="0.2">
      <c r="B23" s="130" t="s">
        <v>121</v>
      </c>
      <c r="C23" s="130"/>
      <c r="D23" s="49">
        <v>6</v>
      </c>
      <c r="E23" s="51">
        <f>E18-E22</f>
        <v>648</v>
      </c>
      <c r="F23" s="49" t="s">
        <v>0</v>
      </c>
      <c r="G23" s="46"/>
    </row>
    <row r="24" spans="2:8" ht="17" x14ac:dyDescent="0.2">
      <c r="B24" s="5"/>
      <c r="C24" s="5"/>
      <c r="E24" s="11"/>
      <c r="G24" s="124" t="s">
        <v>233</v>
      </c>
    </row>
    <row r="25" spans="2:8" x14ac:dyDescent="0.2">
      <c r="B25" t="s">
        <v>122</v>
      </c>
      <c r="D25" s="11">
        <f>E23/70</f>
        <v>9.257142857142858</v>
      </c>
      <c r="E25" s="35">
        <v>9</v>
      </c>
      <c r="F25" s="41">
        <f>E25*$D$23</f>
        <v>54</v>
      </c>
      <c r="G25" s="86">
        <f>F25</f>
        <v>54</v>
      </c>
    </row>
    <row r="26" spans="2:8" x14ac:dyDescent="0.2">
      <c r="B26" t="s">
        <v>124</v>
      </c>
      <c r="D26" s="2"/>
      <c r="F26" s="41">
        <f>E26*$D$23</f>
        <v>0</v>
      </c>
      <c r="G26" s="86">
        <f>F26</f>
        <v>0</v>
      </c>
    </row>
    <row r="27" spans="2:8" x14ac:dyDescent="0.2">
      <c r="B27" t="s">
        <v>125</v>
      </c>
      <c r="D27" s="2"/>
      <c r="F27" s="41">
        <f>E27*$D$23</f>
        <v>0</v>
      </c>
      <c r="G27" s="86">
        <f>F27</f>
        <v>0</v>
      </c>
    </row>
    <row r="29" spans="2:8" x14ac:dyDescent="0.2">
      <c r="B29" s="40" t="s">
        <v>123</v>
      </c>
      <c r="C29" s="40"/>
      <c r="D29" s="40"/>
      <c r="E29" s="56">
        <f>SUM(F25:F27)</f>
        <v>54</v>
      </c>
    </row>
    <row r="30" spans="2:8" x14ac:dyDescent="0.2">
      <c r="B30" t="s">
        <v>126</v>
      </c>
      <c r="E30" s="11">
        <f>E29*0.25</f>
        <v>13.5</v>
      </c>
      <c r="F30">
        <v>13</v>
      </c>
    </row>
    <row r="33" spans="2:13" x14ac:dyDescent="0.2">
      <c r="B33" s="16" t="s">
        <v>64</v>
      </c>
      <c r="C33" s="16"/>
      <c r="D33" s="16"/>
      <c r="E33" s="16"/>
      <c r="F33" s="16"/>
    </row>
    <row r="34" spans="2:13" x14ac:dyDescent="0.2">
      <c r="B34" t="s">
        <v>28</v>
      </c>
      <c r="E34" s="62">
        <v>13080000</v>
      </c>
      <c r="G34" s="40"/>
    </row>
    <row r="35" spans="2:13" x14ac:dyDescent="0.2">
      <c r="B35" t="s">
        <v>107</v>
      </c>
      <c r="E35" s="8">
        <f>(E34-DATOS!L67)*DATOS!M67</f>
        <v>434184.14188000007</v>
      </c>
    </row>
    <row r="36" spans="2:13" x14ac:dyDescent="0.2">
      <c r="B36" t="s">
        <v>65</v>
      </c>
      <c r="E36" s="8">
        <f>G54*DATOS!H31</f>
        <v>74104327.439999998</v>
      </c>
      <c r="G36" s="139" t="s">
        <v>104</v>
      </c>
    </row>
    <row r="37" spans="2:13" x14ac:dyDescent="0.2">
      <c r="B37" t="s">
        <v>67</v>
      </c>
      <c r="E37" s="8">
        <f>E36*DATOS!B39</f>
        <v>5928346.1952</v>
      </c>
      <c r="G37" s="139"/>
    </row>
    <row r="38" spans="2:13" x14ac:dyDescent="0.2">
      <c r="B38" t="s">
        <v>86</v>
      </c>
      <c r="E38" s="8">
        <f>E36*DATOS!B49</f>
        <v>5187302.9208000004</v>
      </c>
    </row>
    <row r="39" spans="2:13" x14ac:dyDescent="0.2">
      <c r="B39" t="s">
        <v>68</v>
      </c>
      <c r="E39" s="8">
        <f>E36*DATOS!B83</f>
        <v>4816781.2835999997</v>
      </c>
    </row>
    <row r="40" spans="2:13" x14ac:dyDescent="0.2">
      <c r="B40" t="s">
        <v>129</v>
      </c>
      <c r="E40" s="8">
        <f>E36*DATOS!B91</f>
        <v>11115649.115999999</v>
      </c>
    </row>
    <row r="42" spans="2:13" x14ac:dyDescent="0.2">
      <c r="B42" s="54" t="s">
        <v>69</v>
      </c>
      <c r="C42" s="54"/>
      <c r="D42" s="54"/>
      <c r="E42" s="55">
        <f>SUM(E34:E40)</f>
        <v>114666591.09748</v>
      </c>
      <c r="M42" s="46"/>
    </row>
    <row r="44" spans="2:13" x14ac:dyDescent="0.2">
      <c r="B44" s="40"/>
      <c r="C44" s="40" t="s">
        <v>120</v>
      </c>
    </row>
    <row r="45" spans="2:13" ht="85" x14ac:dyDescent="0.2">
      <c r="B45" s="12"/>
      <c r="C45" s="13" t="s">
        <v>46</v>
      </c>
      <c r="D45" s="13" t="s">
        <v>47</v>
      </c>
      <c r="E45" s="13" t="s">
        <v>48</v>
      </c>
    </row>
    <row r="46" spans="2:13" x14ac:dyDescent="0.2">
      <c r="B46" s="12" t="s">
        <v>49</v>
      </c>
      <c r="C46" s="12"/>
      <c r="D46" s="12"/>
      <c r="E46" s="44">
        <f>E30*13*1.3</f>
        <v>228.15</v>
      </c>
    </row>
    <row r="47" spans="2:13" x14ac:dyDescent="0.2">
      <c r="B47" s="12" t="s">
        <v>50</v>
      </c>
      <c r="C47" s="43">
        <f>($E$25*70)+($E$26*90)+($E$27*60)</f>
        <v>630</v>
      </c>
      <c r="D47" s="44">
        <f>$E$22</f>
        <v>72</v>
      </c>
      <c r="E47" s="12"/>
    </row>
    <row r="48" spans="2:13" x14ac:dyDescent="0.2">
      <c r="B48" s="12" t="s">
        <v>51</v>
      </c>
      <c r="C48" s="43">
        <f t="shared" ref="C48:C52" si="0">($E$25*70)+($E$26*90)+($E$27*60)</f>
        <v>630</v>
      </c>
      <c r="D48" s="44">
        <f t="shared" ref="D48:D52" si="1">$E$22</f>
        <v>72</v>
      </c>
      <c r="E48" s="12"/>
    </row>
    <row r="49" spans="2:7" x14ac:dyDescent="0.2">
      <c r="B49" s="12" t="s">
        <v>52</v>
      </c>
      <c r="C49" s="43">
        <f t="shared" si="0"/>
        <v>630</v>
      </c>
      <c r="D49" s="44">
        <f t="shared" si="1"/>
        <v>72</v>
      </c>
      <c r="E49" s="12"/>
    </row>
    <row r="50" spans="2:7" x14ac:dyDescent="0.2">
      <c r="B50" s="12" t="s">
        <v>53</v>
      </c>
      <c r="C50" s="43">
        <f t="shared" si="0"/>
        <v>630</v>
      </c>
      <c r="D50" s="44">
        <f t="shared" si="1"/>
        <v>72</v>
      </c>
      <c r="E50" s="12"/>
    </row>
    <row r="51" spans="2:7" x14ac:dyDescent="0.2">
      <c r="B51" s="12" t="s">
        <v>54</v>
      </c>
      <c r="C51" s="43">
        <f t="shared" si="0"/>
        <v>630</v>
      </c>
      <c r="D51" s="44">
        <f t="shared" si="1"/>
        <v>72</v>
      </c>
      <c r="E51" s="12"/>
    </row>
    <row r="52" spans="2:7" x14ac:dyDescent="0.2">
      <c r="B52" s="12" t="s">
        <v>55</v>
      </c>
      <c r="C52" s="43">
        <f t="shared" si="0"/>
        <v>630</v>
      </c>
      <c r="D52" s="44">
        <f t="shared" si="1"/>
        <v>72</v>
      </c>
      <c r="E52" s="12"/>
    </row>
    <row r="53" spans="2:7" x14ac:dyDescent="0.2">
      <c r="B53" s="12" t="s">
        <v>56</v>
      </c>
      <c r="C53" s="43"/>
      <c r="D53" s="44"/>
      <c r="E53" s="12"/>
      <c r="G53" s="91" t="s">
        <v>239</v>
      </c>
    </row>
    <row r="54" spans="2:7" x14ac:dyDescent="0.2">
      <c r="B54" s="12" t="s">
        <v>57</v>
      </c>
      <c r="C54" s="43"/>
      <c r="D54" s="44"/>
      <c r="E54" s="12"/>
      <c r="G54" s="90">
        <f>C57+D57+E57</f>
        <v>4440.1499999999996</v>
      </c>
    </row>
    <row r="55" spans="2:7" x14ac:dyDescent="0.2">
      <c r="B55" s="12" t="s">
        <v>58</v>
      </c>
      <c r="C55" s="43"/>
      <c r="D55" s="44"/>
      <c r="E55" s="12"/>
    </row>
    <row r="56" spans="2:7" x14ac:dyDescent="0.2">
      <c r="B56" s="14" t="s">
        <v>59</v>
      </c>
      <c r="C56" s="43"/>
      <c r="D56" s="44"/>
      <c r="E56" s="14"/>
      <c r="G56" s="83" t="s">
        <v>62</v>
      </c>
    </row>
    <row r="57" spans="2:7" x14ac:dyDescent="0.2">
      <c r="B57" s="12" t="s">
        <v>25</v>
      </c>
      <c r="C57" s="63">
        <f>SUM(C46:C56)</f>
        <v>3780</v>
      </c>
      <c r="D57" s="63">
        <f t="shared" ref="D57:E57" si="2">SUM(D46:D56)</f>
        <v>432</v>
      </c>
      <c r="E57" s="64">
        <f t="shared" si="2"/>
        <v>228.15</v>
      </c>
      <c r="G57" s="83">
        <f>SUM(C57:D57)</f>
        <v>4212</v>
      </c>
    </row>
    <row r="59" spans="2:7" x14ac:dyDescent="0.2">
      <c r="B59" s="16" t="s">
        <v>70</v>
      </c>
      <c r="C59" s="16"/>
      <c r="D59" s="16"/>
      <c r="E59" s="16"/>
      <c r="F59" s="16"/>
    </row>
    <row r="61" spans="2:7" x14ac:dyDescent="0.2">
      <c r="B61" t="s">
        <v>108</v>
      </c>
      <c r="E61" s="58">
        <f>E42/C57</f>
        <v>30335.077009915345</v>
      </c>
    </row>
    <row r="62" spans="2:7" x14ac:dyDescent="0.2">
      <c r="B62" s="40" t="s">
        <v>127</v>
      </c>
      <c r="C62" s="40"/>
      <c r="D62" s="65">
        <v>0</v>
      </c>
      <c r="E62" s="53">
        <f>$E$61*90*D62</f>
        <v>0</v>
      </c>
      <c r="G62" s="3" t="s">
        <v>223</v>
      </c>
    </row>
    <row r="63" spans="2:7" x14ac:dyDescent="0.2">
      <c r="B63" s="40" t="s">
        <v>128</v>
      </c>
      <c r="C63" s="40"/>
      <c r="D63" s="66">
        <v>1</v>
      </c>
      <c r="E63" s="89">
        <f>$E$61*70*D63</f>
        <v>2123455.3906940743</v>
      </c>
      <c r="G63" s="77">
        <v>1020000</v>
      </c>
    </row>
    <row r="64" spans="2:7" x14ac:dyDescent="0.2">
      <c r="B64" s="40" t="s">
        <v>110</v>
      </c>
      <c r="C64" s="40"/>
      <c r="D64" s="65">
        <v>0</v>
      </c>
      <c r="E64" s="53">
        <f t="shared" ref="E64" si="3">$E$61*90*D64</f>
        <v>0</v>
      </c>
      <c r="G64" s="77">
        <v>2040000</v>
      </c>
    </row>
  </sheetData>
  <mergeCells count="15">
    <mergeCell ref="K4:M4"/>
    <mergeCell ref="N4:P4"/>
    <mergeCell ref="K1:M1"/>
    <mergeCell ref="N1:P1"/>
    <mergeCell ref="K2:M2"/>
    <mergeCell ref="N2:P2"/>
    <mergeCell ref="K3:M3"/>
    <mergeCell ref="N3:P3"/>
    <mergeCell ref="G36:G37"/>
    <mergeCell ref="H1:J1"/>
    <mergeCell ref="H2:J2"/>
    <mergeCell ref="H4:J4"/>
    <mergeCell ref="B23:C23"/>
    <mergeCell ref="B18:C18"/>
    <mergeCell ref="G5:G6"/>
  </mergeCells>
  <pageMargins left="0.7" right="0.7" top="0.75" bottom="0.75" header="0.3" footer="0.3"/>
  <pageSetup scale="25" fitToHeight="0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7E48C-0B1C-45FE-83CA-E119972FDFAC}">
  <sheetPr>
    <tabColor theme="0" tint="-0.499984740745262"/>
  </sheetPr>
  <dimension ref="A1:N63"/>
  <sheetViews>
    <sheetView showGridLines="0" topLeftCell="A29" zoomScale="60" zoomScaleNormal="60" workbookViewId="0">
      <selection activeCell="I65" sqref="I65"/>
    </sheetView>
  </sheetViews>
  <sheetFormatPr baseColWidth="10" defaultRowHeight="16" x14ac:dyDescent="0.2"/>
  <cols>
    <col min="1" max="1" width="7.1640625" customWidth="1"/>
    <col min="2" max="2" width="29.5" customWidth="1"/>
    <col min="3" max="3" width="23.1640625" customWidth="1"/>
    <col min="4" max="4" width="8.83203125" customWidth="1"/>
    <col min="5" max="5" width="25.5" customWidth="1"/>
    <col min="6" max="6" width="9.5" customWidth="1"/>
    <col min="7" max="7" width="31.3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.83203125" customWidth="1"/>
    <col min="14" max="14" width="18.83203125" customWidth="1"/>
  </cols>
  <sheetData>
    <row r="1" spans="1:7" x14ac:dyDescent="0.2">
      <c r="A1" s="40" t="s">
        <v>28</v>
      </c>
      <c r="B1" s="101" t="s">
        <v>242</v>
      </c>
      <c r="C1" s="101"/>
      <c r="D1" s="102" t="s">
        <v>92</v>
      </c>
      <c r="E1" s="47"/>
      <c r="F1" s="47"/>
      <c r="G1" s="47"/>
    </row>
    <row r="2" spans="1:7" x14ac:dyDescent="0.2">
      <c r="B2" s="40" t="s">
        <v>219</v>
      </c>
      <c r="C2" s="40"/>
      <c r="D2" s="42" t="s">
        <v>238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924.64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2.4</v>
      </c>
      <c r="G7" s="112"/>
    </row>
    <row r="8" spans="1:7" x14ac:dyDescent="0.2">
      <c r="B8" t="s">
        <v>93</v>
      </c>
      <c r="E8" s="2">
        <v>2.4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x14ac:dyDescent="0.2">
      <c r="B11" t="s">
        <v>116</v>
      </c>
      <c r="E11" s="2" t="s">
        <v>220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31.5" customHeight="1" x14ac:dyDescent="0.2">
      <c r="B18" s="131" t="s">
        <v>119</v>
      </c>
      <c r="C18" s="131"/>
      <c r="E18" s="11">
        <f>E5*E6</f>
        <v>739.71199999999999</v>
      </c>
      <c r="F18" t="s">
        <v>0</v>
      </c>
      <c r="G18" s="46"/>
    </row>
    <row r="19" spans="2:14" x14ac:dyDescent="0.2">
      <c r="B19" t="s">
        <v>94</v>
      </c>
      <c r="E19" s="40">
        <f>E5*(E7+E8)</f>
        <v>4438.2719999999999</v>
      </c>
      <c r="F19" t="s">
        <v>0</v>
      </c>
    </row>
    <row r="20" spans="2:14" x14ac:dyDescent="0.2">
      <c r="B20" t="s">
        <v>39</v>
      </c>
      <c r="D20" s="11">
        <f>E19/E18</f>
        <v>6</v>
      </c>
      <c r="E20" s="11">
        <f>D20</f>
        <v>6</v>
      </c>
      <c r="F20" t="s">
        <v>40</v>
      </c>
      <c r="G20" s="46"/>
    </row>
    <row r="21" spans="2:14" x14ac:dyDescent="0.2">
      <c r="B21" t="s">
        <v>101</v>
      </c>
      <c r="E21">
        <f>E20*3</f>
        <v>18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73.971199999999996</v>
      </c>
      <c r="F22" t="s">
        <v>0</v>
      </c>
      <c r="G22" s="59"/>
    </row>
    <row r="23" spans="2:14" ht="37.5" customHeight="1" x14ac:dyDescent="0.2">
      <c r="B23" s="130" t="s">
        <v>121</v>
      </c>
      <c r="C23" s="130"/>
      <c r="D23" s="49">
        <v>6</v>
      </c>
      <c r="E23" s="51">
        <f>E18-E22</f>
        <v>665.74080000000004</v>
      </c>
      <c r="F23" s="49" t="s">
        <v>0</v>
      </c>
      <c r="G23" s="46"/>
    </row>
    <row r="24" spans="2:14" ht="17" x14ac:dyDescent="0.2">
      <c r="B24" s="5"/>
      <c r="C24" s="5"/>
      <c r="E24" s="11"/>
      <c r="G24" s="124" t="s">
        <v>233</v>
      </c>
    </row>
    <row r="25" spans="2:14" x14ac:dyDescent="0.2">
      <c r="B25" t="s">
        <v>122</v>
      </c>
      <c r="D25" s="11">
        <f>E23/70</f>
        <v>9.5105828571428574</v>
      </c>
      <c r="E25">
        <v>9</v>
      </c>
      <c r="F25" s="80">
        <f>E25*$D$23</f>
        <v>54</v>
      </c>
      <c r="G25" s="86">
        <f>F25</f>
        <v>54</v>
      </c>
    </row>
    <row r="26" spans="2:14" x14ac:dyDescent="0.2">
      <c r="B26" t="s">
        <v>124</v>
      </c>
      <c r="D26" s="2"/>
      <c r="F26" s="80">
        <f>E26*$D$23</f>
        <v>0</v>
      </c>
      <c r="G26" s="86">
        <f>F26</f>
        <v>0</v>
      </c>
    </row>
    <row r="27" spans="2:14" x14ac:dyDescent="0.2">
      <c r="B27" t="s">
        <v>125</v>
      </c>
      <c r="D27" s="2"/>
      <c r="F27" s="80">
        <f>E27*$D$23</f>
        <v>0</v>
      </c>
      <c r="G27" s="86">
        <f>F27</f>
        <v>0</v>
      </c>
    </row>
    <row r="29" spans="2:14" x14ac:dyDescent="0.2">
      <c r="B29" s="40" t="s">
        <v>123</v>
      </c>
      <c r="C29" s="40"/>
      <c r="D29" s="40"/>
      <c r="E29" s="56">
        <f>SUM((F25:F27))</f>
        <v>54</v>
      </c>
    </row>
    <row r="30" spans="2:14" x14ac:dyDescent="0.2">
      <c r="B30" t="s">
        <v>126</v>
      </c>
      <c r="E30" s="11">
        <f>E29*0.25</f>
        <v>13.5</v>
      </c>
      <c r="F30">
        <v>13</v>
      </c>
    </row>
    <row r="31" spans="2:14" x14ac:dyDescent="0.2">
      <c r="G31" s="40"/>
    </row>
    <row r="32" spans="2:14" x14ac:dyDescent="0.2">
      <c r="B32" s="16" t="s">
        <v>64</v>
      </c>
      <c r="C32" s="16"/>
      <c r="D32" s="16"/>
      <c r="E32" s="16"/>
      <c r="F32" s="16"/>
      <c r="G32" s="40"/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62">
        <v>36000000</v>
      </c>
      <c r="G33" s="136" t="s">
        <v>104</v>
      </c>
    </row>
    <row r="34" spans="2:13" x14ac:dyDescent="0.2">
      <c r="B34" t="s">
        <v>107</v>
      </c>
      <c r="E34" s="8">
        <f>(E33-DATOS!L67)*DATOS!M67</f>
        <v>1213464.14188</v>
      </c>
      <c r="G34" s="136"/>
    </row>
    <row r="35" spans="2:13" x14ac:dyDescent="0.2">
      <c r="B35" t="s">
        <v>65</v>
      </c>
      <c r="E35" s="8">
        <f>G53*DATOS!H31</f>
        <v>74301718.67712</v>
      </c>
      <c r="G35" s="46"/>
    </row>
    <row r="36" spans="2:13" x14ac:dyDescent="0.2">
      <c r="B36" t="s">
        <v>67</v>
      </c>
      <c r="E36" s="8">
        <f>E35*DATOS!B39</f>
        <v>5944137.4941696003</v>
      </c>
    </row>
    <row r="37" spans="2:13" x14ac:dyDescent="0.2">
      <c r="B37" t="s">
        <v>86</v>
      </c>
      <c r="E37" s="8">
        <f>E35*DATOS!B49</f>
        <v>5201120.3073984003</v>
      </c>
    </row>
    <row r="38" spans="2:13" x14ac:dyDescent="0.2">
      <c r="B38" t="s">
        <v>68</v>
      </c>
      <c r="E38" s="8">
        <f>E35*DATOS!B83</f>
        <v>4829611.7140127998</v>
      </c>
    </row>
    <row r="39" spans="2:13" x14ac:dyDescent="0.2">
      <c r="B39" t="s">
        <v>129</v>
      </c>
      <c r="E39" s="8">
        <f>E35*DATOS!B91</f>
        <v>11145257.801568</v>
      </c>
    </row>
    <row r="41" spans="2:13" x14ac:dyDescent="0.2">
      <c r="B41" s="54" t="s">
        <v>69</v>
      </c>
      <c r="C41" s="54"/>
      <c r="D41" s="54"/>
      <c r="E41" s="55">
        <f>SUM(E33:E39)</f>
        <v>138635310.13614878</v>
      </c>
      <c r="M41" s="46"/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</row>
    <row r="45" spans="2:13" x14ac:dyDescent="0.2">
      <c r="B45" s="12" t="s">
        <v>49</v>
      </c>
      <c r="C45" s="12"/>
      <c r="D45" s="12"/>
      <c r="E45" s="44">
        <f>E30*13*1.3</f>
        <v>228.15</v>
      </c>
      <c r="I45" s="6"/>
      <c r="J45" s="6"/>
      <c r="K45" s="108"/>
      <c r="M45" s="86"/>
    </row>
    <row r="46" spans="2:13" x14ac:dyDescent="0.2">
      <c r="B46" s="12" t="s">
        <v>50</v>
      </c>
      <c r="C46" s="43">
        <f>($E$25*70)+($E$26*90)+($E$27*60)</f>
        <v>630</v>
      </c>
      <c r="D46" s="44">
        <f>$E$22</f>
        <v>73.971199999999996</v>
      </c>
      <c r="E46" s="12"/>
      <c r="I46" s="6"/>
      <c r="J46" s="6"/>
      <c r="K46" s="108"/>
      <c r="M46" s="86"/>
    </row>
    <row r="47" spans="2:13" x14ac:dyDescent="0.2">
      <c r="B47" s="12" t="s">
        <v>51</v>
      </c>
      <c r="C47" s="43">
        <f t="shared" ref="C47:C51" si="0">($E$25*70)+($E$26*90)+($E$27*60)</f>
        <v>630</v>
      </c>
      <c r="D47" s="44">
        <f t="shared" ref="D47:D51" si="1">$E$22</f>
        <v>73.971199999999996</v>
      </c>
      <c r="E47" s="12"/>
      <c r="I47" s="6"/>
      <c r="J47" s="6"/>
      <c r="K47" s="108"/>
      <c r="M47" s="86"/>
    </row>
    <row r="48" spans="2:13" x14ac:dyDescent="0.2">
      <c r="B48" s="12" t="s">
        <v>52</v>
      </c>
      <c r="C48" s="43">
        <f t="shared" si="0"/>
        <v>630</v>
      </c>
      <c r="D48" s="44">
        <f t="shared" si="1"/>
        <v>73.971199999999996</v>
      </c>
      <c r="E48" s="12"/>
      <c r="I48" s="6"/>
      <c r="J48" s="6"/>
      <c r="K48" s="108"/>
      <c r="M48" s="86"/>
    </row>
    <row r="49" spans="2:13" x14ac:dyDescent="0.2">
      <c r="B49" s="12" t="s">
        <v>53</v>
      </c>
      <c r="C49" s="43">
        <f t="shared" si="0"/>
        <v>630</v>
      </c>
      <c r="D49" s="44">
        <f t="shared" si="1"/>
        <v>73.971199999999996</v>
      </c>
      <c r="E49" s="12"/>
      <c r="I49" s="6"/>
      <c r="J49" s="6"/>
      <c r="K49" s="108"/>
      <c r="M49" s="86"/>
    </row>
    <row r="50" spans="2:13" x14ac:dyDescent="0.2">
      <c r="B50" s="12" t="s">
        <v>54</v>
      </c>
      <c r="C50" s="43">
        <f t="shared" si="0"/>
        <v>630</v>
      </c>
      <c r="D50" s="44">
        <f t="shared" si="1"/>
        <v>73.971199999999996</v>
      </c>
      <c r="E50" s="12"/>
      <c r="I50" s="6"/>
      <c r="J50" s="6"/>
      <c r="K50" s="108"/>
      <c r="M50" s="86"/>
    </row>
    <row r="51" spans="2:13" x14ac:dyDescent="0.2">
      <c r="B51" s="12" t="s">
        <v>55</v>
      </c>
      <c r="C51" s="43">
        <f t="shared" si="0"/>
        <v>630</v>
      </c>
      <c r="D51" s="44">
        <f t="shared" si="1"/>
        <v>73.971199999999996</v>
      </c>
      <c r="E51" s="12"/>
      <c r="I51" s="6"/>
      <c r="J51" s="6"/>
      <c r="K51" s="108"/>
      <c r="M51" s="86"/>
    </row>
    <row r="52" spans="2:13" x14ac:dyDescent="0.2">
      <c r="B52" s="12" t="s">
        <v>56</v>
      </c>
      <c r="C52" s="43"/>
      <c r="D52" s="44"/>
      <c r="E52" s="12"/>
      <c r="G52" s="91" t="s">
        <v>239</v>
      </c>
      <c r="I52" s="6"/>
      <c r="J52" s="6"/>
      <c r="K52" s="108"/>
      <c r="M52" s="86"/>
    </row>
    <row r="53" spans="2:13" x14ac:dyDescent="0.2">
      <c r="B53" s="12" t="s">
        <v>57</v>
      </c>
      <c r="C53" s="43"/>
      <c r="D53" s="44"/>
      <c r="E53" s="12"/>
      <c r="G53" s="90">
        <f>C56+D56+E56</f>
        <v>4451.9771999999994</v>
      </c>
      <c r="I53" s="6"/>
      <c r="J53" s="6"/>
      <c r="K53" s="108"/>
      <c r="M53" s="86"/>
    </row>
    <row r="54" spans="2:13" x14ac:dyDescent="0.2">
      <c r="B54" s="12" t="s">
        <v>58</v>
      </c>
      <c r="C54" s="43"/>
      <c r="D54" s="44"/>
      <c r="E54" s="12"/>
      <c r="I54" s="6"/>
      <c r="J54" s="6"/>
      <c r="K54" s="108"/>
      <c r="M54" s="86"/>
    </row>
    <row r="55" spans="2:13" x14ac:dyDescent="0.2">
      <c r="B55" s="14" t="s">
        <v>59</v>
      </c>
      <c r="C55" s="43"/>
      <c r="D55" s="44"/>
      <c r="E55" s="14"/>
      <c r="G55" s="83" t="s">
        <v>62</v>
      </c>
      <c r="I55" s="6"/>
      <c r="J55" s="6"/>
      <c r="K55" s="108"/>
      <c r="M55" s="86"/>
    </row>
    <row r="56" spans="2:13" x14ac:dyDescent="0.2">
      <c r="B56" s="12" t="s">
        <v>25</v>
      </c>
      <c r="C56" s="63">
        <f>SUM(C45:C55)</f>
        <v>3780</v>
      </c>
      <c r="D56" s="63">
        <f t="shared" ref="D56:E56" si="2">SUM(D45:D55)</f>
        <v>443.8272</v>
      </c>
      <c r="E56" s="64">
        <f t="shared" si="2"/>
        <v>228.15</v>
      </c>
      <c r="G56" s="83">
        <f>SUM(C56:D56)</f>
        <v>4223.8271999999997</v>
      </c>
      <c r="I56" s="6"/>
      <c r="J56" s="6"/>
      <c r="K56" s="108"/>
      <c r="M56" s="86"/>
    </row>
    <row r="57" spans="2:13" x14ac:dyDescent="0.2">
      <c r="I57" s="6"/>
      <c r="J57" s="6"/>
      <c r="K57" s="108"/>
      <c r="M57" s="86"/>
    </row>
    <row r="58" spans="2:13" x14ac:dyDescent="0.2">
      <c r="B58" s="16" t="s">
        <v>70</v>
      </c>
      <c r="C58" s="16"/>
      <c r="D58" s="16"/>
      <c r="E58" s="16"/>
      <c r="F58" s="16"/>
    </row>
    <row r="60" spans="2:13" x14ac:dyDescent="0.2">
      <c r="B60" t="s">
        <v>108</v>
      </c>
      <c r="E60" s="58">
        <f>E41/C56</f>
        <v>36676.007972526131</v>
      </c>
      <c r="G60" s="136" t="s">
        <v>223</v>
      </c>
    </row>
    <row r="61" spans="2:13" x14ac:dyDescent="0.2">
      <c r="B61" s="40" t="s">
        <v>127</v>
      </c>
      <c r="C61" s="40"/>
      <c r="D61" s="65">
        <v>0</v>
      </c>
      <c r="E61" s="53">
        <f>$E$60*90*D61</f>
        <v>0</v>
      </c>
      <c r="G61" s="136"/>
    </row>
    <row r="62" spans="2:13" x14ac:dyDescent="0.2">
      <c r="B62" s="40" t="s">
        <v>128</v>
      </c>
      <c r="C62" s="40"/>
      <c r="D62" s="66">
        <v>1</v>
      </c>
      <c r="E62" s="68">
        <f>$E$60*70*D62</f>
        <v>2567320.5580768292</v>
      </c>
      <c r="G62" s="77">
        <v>1020000</v>
      </c>
    </row>
    <row r="63" spans="2:13" x14ac:dyDescent="0.2">
      <c r="B63" s="40" t="s">
        <v>110</v>
      </c>
      <c r="C63" s="40"/>
      <c r="D63" s="65">
        <v>0</v>
      </c>
      <c r="E63" s="53">
        <f t="shared" ref="E63" si="3">$E$60*90*D63</f>
        <v>0</v>
      </c>
      <c r="G63" s="77">
        <v>2040000</v>
      </c>
    </row>
  </sheetData>
  <mergeCells count="5">
    <mergeCell ref="B18:C18"/>
    <mergeCell ref="B23:C23"/>
    <mergeCell ref="G5:G6"/>
    <mergeCell ref="G60:G61"/>
    <mergeCell ref="G33:G34"/>
  </mergeCells>
  <pageMargins left="0.7" right="0.7" top="0.75" bottom="0.75" header="0.3" footer="0.3"/>
  <pageSetup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</sheetPr>
  <dimension ref="A1:M63"/>
  <sheetViews>
    <sheetView showGridLines="0" topLeftCell="A29" zoomScale="60" zoomScaleNormal="60" workbookViewId="0">
      <selection activeCell="I65" sqref="I65"/>
    </sheetView>
  </sheetViews>
  <sheetFormatPr baseColWidth="10" defaultRowHeight="16" x14ac:dyDescent="0.2"/>
  <cols>
    <col min="1" max="1" width="7.1640625" customWidth="1"/>
    <col min="2" max="2" width="28.83203125" customWidth="1"/>
    <col min="3" max="3" width="25.83203125" customWidth="1"/>
    <col min="4" max="4" width="8.83203125" customWidth="1"/>
    <col min="5" max="5" width="25.5" customWidth="1"/>
    <col min="7" max="7" width="38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.1640625" customWidth="1"/>
    <col min="14" max="14" width="18.83203125" customWidth="1"/>
  </cols>
  <sheetData>
    <row r="1" spans="1:7" x14ac:dyDescent="0.2">
      <c r="A1" s="40" t="s">
        <v>28</v>
      </c>
      <c r="B1" s="101" t="s">
        <v>243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139</v>
      </c>
      <c r="C2" s="40"/>
      <c r="D2" s="42" t="s">
        <v>238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394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3.2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x14ac:dyDescent="0.2">
      <c r="B11" t="s">
        <v>116</v>
      </c>
      <c r="E11" s="2" t="s">
        <v>115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8" ht="31.5" customHeight="1" x14ac:dyDescent="0.2">
      <c r="B18" s="131" t="s">
        <v>119</v>
      </c>
      <c r="C18" s="131"/>
      <c r="E18" s="11">
        <f>E5*E6</f>
        <v>315.20000000000005</v>
      </c>
      <c r="F18" t="s">
        <v>0</v>
      </c>
      <c r="G18" s="46"/>
    </row>
    <row r="19" spans="2:8" x14ac:dyDescent="0.2">
      <c r="B19" t="s">
        <v>94</v>
      </c>
      <c r="E19" s="75">
        <f>E5*(E7+E8)</f>
        <v>3152</v>
      </c>
      <c r="F19" t="s">
        <v>0</v>
      </c>
    </row>
    <row r="20" spans="2:8" x14ac:dyDescent="0.2">
      <c r="B20" t="s">
        <v>39</v>
      </c>
      <c r="D20" s="11">
        <f>E19/E18</f>
        <v>9.9999999999999982</v>
      </c>
      <c r="E20" s="11">
        <f>D20</f>
        <v>9.9999999999999982</v>
      </c>
      <c r="F20" t="s">
        <v>40</v>
      </c>
      <c r="G20" s="46"/>
    </row>
    <row r="21" spans="2:8" x14ac:dyDescent="0.2">
      <c r="B21" t="s">
        <v>101</v>
      </c>
      <c r="E21">
        <f>E20*3</f>
        <v>29.999999999999993</v>
      </c>
      <c r="F21" t="s">
        <v>34</v>
      </c>
      <c r="G21" s="46"/>
      <c r="H21" t="s">
        <v>106</v>
      </c>
    </row>
    <row r="22" spans="2:8" x14ac:dyDescent="0.2">
      <c r="B22" t="s">
        <v>61</v>
      </c>
      <c r="D22" s="4">
        <v>0.1</v>
      </c>
      <c r="E22" s="11">
        <f>E18*0.1</f>
        <v>31.520000000000007</v>
      </c>
      <c r="F22" t="s">
        <v>0</v>
      </c>
      <c r="G22" s="59"/>
    </row>
    <row r="23" spans="2:8" ht="38.25" customHeight="1" x14ac:dyDescent="0.2">
      <c r="B23" s="130" t="s">
        <v>121</v>
      </c>
      <c r="C23" s="130"/>
      <c r="D23" s="49">
        <v>10</v>
      </c>
      <c r="E23" s="51">
        <f>E18-E22</f>
        <v>283.68000000000006</v>
      </c>
      <c r="F23" s="49" t="s">
        <v>0</v>
      </c>
      <c r="G23" s="46"/>
    </row>
    <row r="24" spans="2:8" ht="17" x14ac:dyDescent="0.2">
      <c r="B24" s="5"/>
      <c r="C24" s="5"/>
      <c r="E24" s="11"/>
      <c r="G24" s="124" t="s">
        <v>233</v>
      </c>
    </row>
    <row r="25" spans="2:8" x14ac:dyDescent="0.2">
      <c r="B25" t="s">
        <v>122</v>
      </c>
      <c r="D25" s="11">
        <f>E23/70</f>
        <v>4.0525714285714294</v>
      </c>
      <c r="E25">
        <v>4</v>
      </c>
      <c r="F25" s="41">
        <f>E25*$D$23</f>
        <v>40</v>
      </c>
      <c r="G25" s="86">
        <f>F25</f>
        <v>40</v>
      </c>
    </row>
    <row r="26" spans="2:8" x14ac:dyDescent="0.2">
      <c r="B26" t="s">
        <v>124</v>
      </c>
      <c r="D26" s="2"/>
      <c r="F26" s="41">
        <f>E26*$D$23</f>
        <v>0</v>
      </c>
      <c r="G26" s="86">
        <f>F26</f>
        <v>0</v>
      </c>
    </row>
    <row r="27" spans="2:8" x14ac:dyDescent="0.2">
      <c r="B27" t="s">
        <v>125</v>
      </c>
      <c r="D27" s="2"/>
      <c r="F27" s="41">
        <f>E27*$D$23</f>
        <v>0</v>
      </c>
      <c r="G27" s="86">
        <f>F27</f>
        <v>0</v>
      </c>
    </row>
    <row r="29" spans="2:8" x14ac:dyDescent="0.2">
      <c r="B29" s="40" t="s">
        <v>123</v>
      </c>
      <c r="C29" s="40"/>
      <c r="D29" s="40"/>
      <c r="E29" s="56">
        <f>SUM(F25:F27)</f>
        <v>40</v>
      </c>
    </row>
    <row r="30" spans="2:8" x14ac:dyDescent="0.2">
      <c r="B30" t="s">
        <v>126</v>
      </c>
      <c r="D30" s="11">
        <f>E29*0.25</f>
        <v>10</v>
      </c>
      <c r="E30">
        <v>10</v>
      </c>
    </row>
    <row r="32" spans="2:8" x14ac:dyDescent="0.2">
      <c r="B32" s="16" t="s">
        <v>64</v>
      </c>
      <c r="C32" s="16"/>
      <c r="D32" s="16"/>
      <c r="E32" s="16"/>
      <c r="F32" s="16"/>
      <c r="G32" s="136" t="s">
        <v>104</v>
      </c>
    </row>
    <row r="33" spans="2:13" x14ac:dyDescent="0.2">
      <c r="B33" t="s">
        <v>28</v>
      </c>
      <c r="E33" s="8">
        <v>9600000</v>
      </c>
      <c r="G33" s="136"/>
    </row>
    <row r="34" spans="2:13" x14ac:dyDescent="0.2">
      <c r="B34" t="s">
        <v>107</v>
      </c>
      <c r="E34" s="8">
        <f>(E33-DATOS!L66)*DATOS!M66</f>
        <v>311925.24231</v>
      </c>
    </row>
    <row r="35" spans="2:13" x14ac:dyDescent="0.2">
      <c r="B35" t="s">
        <v>65</v>
      </c>
      <c r="E35" s="8">
        <f>G53*DATOS!H31</f>
        <v>54811984.320000008</v>
      </c>
      <c r="G35" s="46"/>
    </row>
    <row r="36" spans="2:13" x14ac:dyDescent="0.2">
      <c r="B36" t="s">
        <v>67</v>
      </c>
      <c r="E36" s="8">
        <f>E35*DATOS!B39</f>
        <v>4384958.745600001</v>
      </c>
    </row>
    <row r="37" spans="2:13" x14ac:dyDescent="0.2">
      <c r="B37" t="s">
        <v>86</v>
      </c>
      <c r="E37" s="8">
        <f>E35*DATOS!B49</f>
        <v>3836838.902400001</v>
      </c>
    </row>
    <row r="38" spans="2:13" x14ac:dyDescent="0.2">
      <c r="B38" t="s">
        <v>68</v>
      </c>
      <c r="E38" s="8">
        <f>E35*DATOS!B83</f>
        <v>3562778.9808000005</v>
      </c>
    </row>
    <row r="39" spans="2:13" x14ac:dyDescent="0.2">
      <c r="B39" t="s">
        <v>129</v>
      </c>
      <c r="E39" s="8">
        <f>E35*DATOS!B91</f>
        <v>8221797.648000001</v>
      </c>
    </row>
    <row r="41" spans="2:13" x14ac:dyDescent="0.2">
      <c r="B41" s="54" t="s">
        <v>69</v>
      </c>
      <c r="C41" s="54"/>
      <c r="D41" s="54"/>
      <c r="E41" s="55">
        <f>SUM(E33:E39)</f>
        <v>84730283.839110017</v>
      </c>
      <c r="M41" s="46"/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</row>
    <row r="45" spans="2:13" x14ac:dyDescent="0.2">
      <c r="B45" s="12" t="s">
        <v>49</v>
      </c>
      <c r="C45" s="12"/>
      <c r="D45" s="12"/>
      <c r="E45" s="44">
        <f>E30*13*1.3</f>
        <v>169</v>
      </c>
    </row>
    <row r="46" spans="2:13" x14ac:dyDescent="0.2">
      <c r="B46" s="12" t="s">
        <v>50</v>
      </c>
      <c r="C46" s="43">
        <f>($E$25*70)+($E$26*90)+($E$27*60)</f>
        <v>280</v>
      </c>
      <c r="D46" s="44">
        <f>$E$22</f>
        <v>31.520000000000007</v>
      </c>
      <c r="E46" s="12"/>
    </row>
    <row r="47" spans="2:13" x14ac:dyDescent="0.2">
      <c r="B47" s="12" t="s">
        <v>51</v>
      </c>
      <c r="C47" s="43">
        <f t="shared" ref="C47:C55" si="0">($E$25*70)+($E$26*90)+($E$27*60)</f>
        <v>280</v>
      </c>
      <c r="D47" s="44">
        <f t="shared" ref="D47:D55" si="1">$E$22</f>
        <v>31.520000000000007</v>
      </c>
      <c r="E47" s="12"/>
    </row>
    <row r="48" spans="2:13" x14ac:dyDescent="0.2">
      <c r="B48" s="12" t="s">
        <v>52</v>
      </c>
      <c r="C48" s="43">
        <f t="shared" si="0"/>
        <v>280</v>
      </c>
      <c r="D48" s="44">
        <f t="shared" si="1"/>
        <v>31.520000000000007</v>
      </c>
      <c r="E48" s="12"/>
    </row>
    <row r="49" spans="2:7" x14ac:dyDescent="0.2">
      <c r="B49" s="12" t="s">
        <v>53</v>
      </c>
      <c r="C49" s="43">
        <f t="shared" si="0"/>
        <v>280</v>
      </c>
      <c r="D49" s="44">
        <f t="shared" si="1"/>
        <v>31.520000000000007</v>
      </c>
      <c r="E49" s="12"/>
    </row>
    <row r="50" spans="2:7" x14ac:dyDescent="0.2">
      <c r="B50" s="12" t="s">
        <v>54</v>
      </c>
      <c r="C50" s="43">
        <f t="shared" si="0"/>
        <v>280</v>
      </c>
      <c r="D50" s="44">
        <f t="shared" si="1"/>
        <v>31.520000000000007</v>
      </c>
      <c r="E50" s="12"/>
    </row>
    <row r="51" spans="2:7" x14ac:dyDescent="0.2">
      <c r="B51" s="12" t="s">
        <v>55</v>
      </c>
      <c r="C51" s="43">
        <f t="shared" si="0"/>
        <v>280</v>
      </c>
      <c r="D51" s="44">
        <f t="shared" si="1"/>
        <v>31.520000000000007</v>
      </c>
      <c r="E51" s="12"/>
    </row>
    <row r="52" spans="2:7" x14ac:dyDescent="0.2">
      <c r="B52" s="12" t="s">
        <v>56</v>
      </c>
      <c r="C52" s="43">
        <f t="shared" si="0"/>
        <v>280</v>
      </c>
      <c r="D52" s="44">
        <f t="shared" si="1"/>
        <v>31.520000000000007</v>
      </c>
      <c r="E52" s="12"/>
      <c r="G52" s="91" t="s">
        <v>239</v>
      </c>
    </row>
    <row r="53" spans="2:7" x14ac:dyDescent="0.2">
      <c r="B53" s="12" t="s">
        <v>57</v>
      </c>
      <c r="C53" s="43">
        <f t="shared" si="0"/>
        <v>280</v>
      </c>
      <c r="D53" s="44">
        <f t="shared" si="1"/>
        <v>31.520000000000007</v>
      </c>
      <c r="E53" s="12"/>
      <c r="G53" s="90">
        <f>C56+D56+E56</f>
        <v>3284.2</v>
      </c>
    </row>
    <row r="54" spans="2:7" x14ac:dyDescent="0.2">
      <c r="B54" s="12" t="s">
        <v>58</v>
      </c>
      <c r="C54" s="43">
        <f t="shared" si="0"/>
        <v>280</v>
      </c>
      <c r="D54" s="44">
        <f t="shared" si="1"/>
        <v>31.520000000000007</v>
      </c>
      <c r="E54" s="12"/>
    </row>
    <row r="55" spans="2:7" x14ac:dyDescent="0.2">
      <c r="B55" s="14" t="s">
        <v>59</v>
      </c>
      <c r="C55" s="43">
        <f t="shared" si="0"/>
        <v>280</v>
      </c>
      <c r="D55" s="44">
        <f t="shared" si="1"/>
        <v>31.520000000000007</v>
      </c>
      <c r="E55" s="14"/>
      <c r="G55" s="76" t="s">
        <v>62</v>
      </c>
    </row>
    <row r="56" spans="2:7" x14ac:dyDescent="0.2">
      <c r="B56" s="12" t="s">
        <v>25</v>
      </c>
      <c r="C56" s="63">
        <f>SUM(C45:C55)</f>
        <v>2800</v>
      </c>
      <c r="D56" s="63">
        <f t="shared" ref="D56:E56" si="2">SUM(D45:D55)</f>
        <v>315.20000000000005</v>
      </c>
      <c r="E56" s="64">
        <f t="shared" si="2"/>
        <v>169</v>
      </c>
      <c r="G56" s="76">
        <f>SUM(C56:D56)</f>
        <v>3115.2</v>
      </c>
    </row>
    <row r="58" spans="2:7" x14ac:dyDescent="0.2">
      <c r="B58" s="16" t="s">
        <v>70</v>
      </c>
      <c r="C58" s="16"/>
      <c r="D58" s="16"/>
      <c r="E58" s="16"/>
      <c r="F58" s="16"/>
    </row>
    <row r="60" spans="2:7" x14ac:dyDescent="0.2">
      <c r="B60" t="s">
        <v>108</v>
      </c>
      <c r="E60" s="58">
        <f>E41/C56</f>
        <v>30260.815656825005</v>
      </c>
    </row>
    <row r="61" spans="2:7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7" x14ac:dyDescent="0.2">
      <c r="B62" s="40" t="s">
        <v>128</v>
      </c>
      <c r="C62" s="40"/>
      <c r="D62" s="66">
        <v>1</v>
      </c>
      <c r="E62" s="53">
        <f>$E$60*70*D62</f>
        <v>2118257.0959777501</v>
      </c>
      <c r="G62" s="77">
        <v>1020000</v>
      </c>
    </row>
    <row r="63" spans="2:7" x14ac:dyDescent="0.2">
      <c r="B63" s="40" t="s">
        <v>110</v>
      </c>
      <c r="C63" s="40"/>
      <c r="D63" s="65">
        <v>0</v>
      </c>
      <c r="E63" s="53">
        <f t="shared" ref="E63" si="3">$E$60*90*D63</f>
        <v>0</v>
      </c>
      <c r="G63" s="77">
        <v>2040000</v>
      </c>
    </row>
  </sheetData>
  <mergeCells count="4">
    <mergeCell ref="G32:G33"/>
    <mergeCell ref="G5:G6"/>
    <mergeCell ref="B18:C18"/>
    <mergeCell ref="B23:C23"/>
  </mergeCells>
  <pageMargins left="0.7" right="0.7" top="0.75" bottom="0.75" header="0.3" footer="0.3"/>
  <pageSetup orientation="portrait" horizontalDpi="0" verticalDpi="0"/>
  <ignoredErrors>
    <ignoredError sqref="E62" formula="1"/>
  </ignoredErrors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9.9978637043366805E-2"/>
  </sheetPr>
  <dimension ref="A1:O63"/>
  <sheetViews>
    <sheetView showGridLines="0" topLeftCell="A36" zoomScale="60" zoomScaleNormal="60" workbookViewId="0">
      <selection activeCell="I65" sqref="I65"/>
    </sheetView>
  </sheetViews>
  <sheetFormatPr baseColWidth="10" defaultRowHeight="16" x14ac:dyDescent="0.2"/>
  <cols>
    <col min="1" max="1" width="7.1640625" customWidth="1"/>
    <col min="2" max="2" width="20.6640625" customWidth="1"/>
    <col min="3" max="3" width="31.1640625" customWidth="1"/>
    <col min="4" max="4" width="8.83203125" customWidth="1"/>
    <col min="5" max="5" width="25.5" customWidth="1"/>
    <col min="7" max="7" width="32.8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274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112</v>
      </c>
      <c r="C2" s="40"/>
      <c r="D2" s="42">
        <v>1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395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3.2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114</v>
      </c>
    </row>
    <row r="11" spans="1:7" x14ac:dyDescent="0.2">
      <c r="B11" t="s">
        <v>116</v>
      </c>
      <c r="E11" s="2" t="s">
        <v>115</v>
      </c>
      <c r="F11" t="s">
        <v>34</v>
      </c>
      <c r="G11" s="46"/>
    </row>
    <row r="12" spans="1:7" ht="17" x14ac:dyDescent="0.2">
      <c r="B12" t="s">
        <v>35</v>
      </c>
      <c r="E12" s="45" t="s">
        <v>130</v>
      </c>
      <c r="G12" s="5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5" ht="33" customHeight="1" x14ac:dyDescent="0.2">
      <c r="B18" s="131" t="s">
        <v>119</v>
      </c>
      <c r="C18" s="131"/>
      <c r="E18" s="11">
        <f>E5*E6</f>
        <v>316</v>
      </c>
      <c r="F18" t="s">
        <v>0</v>
      </c>
      <c r="G18" s="46"/>
    </row>
    <row r="19" spans="2:15" x14ac:dyDescent="0.2">
      <c r="B19" t="s">
        <v>94</v>
      </c>
      <c r="E19" s="40">
        <f>E5*(E7+E8)</f>
        <v>3160</v>
      </c>
      <c r="F19" t="s">
        <v>0</v>
      </c>
    </row>
    <row r="20" spans="2:15" x14ac:dyDescent="0.2">
      <c r="B20" t="s">
        <v>39</v>
      </c>
      <c r="D20" s="11">
        <f>E19/E18</f>
        <v>10</v>
      </c>
      <c r="E20" s="11">
        <f>D20</f>
        <v>10</v>
      </c>
      <c r="F20" t="s">
        <v>40</v>
      </c>
    </row>
    <row r="21" spans="2:15" x14ac:dyDescent="0.2">
      <c r="B21" t="s">
        <v>101</v>
      </c>
      <c r="E21">
        <f>E20*3</f>
        <v>30</v>
      </c>
      <c r="F21" t="s">
        <v>34</v>
      </c>
      <c r="G21" s="46"/>
      <c r="H21" t="s">
        <v>106</v>
      </c>
    </row>
    <row r="22" spans="2:15" x14ac:dyDescent="0.2">
      <c r="B22" t="s">
        <v>61</v>
      </c>
      <c r="D22" s="4">
        <v>0.1</v>
      </c>
      <c r="E22" s="11">
        <f>E18*0.1</f>
        <v>31.6</v>
      </c>
      <c r="F22" t="s">
        <v>0</v>
      </c>
      <c r="G22" s="5"/>
    </row>
    <row r="23" spans="2:15" ht="37.5" customHeight="1" x14ac:dyDescent="0.2">
      <c r="B23" s="130" t="s">
        <v>121</v>
      </c>
      <c r="C23" s="130"/>
      <c r="D23" s="49">
        <v>10</v>
      </c>
      <c r="E23" s="51">
        <f>E18-E22</f>
        <v>284.39999999999998</v>
      </c>
      <c r="F23" s="49" t="s">
        <v>0</v>
      </c>
      <c r="G23" s="46"/>
    </row>
    <row r="24" spans="2:15" ht="17" x14ac:dyDescent="0.2">
      <c r="B24" s="5"/>
      <c r="C24" s="5"/>
      <c r="E24" s="57"/>
      <c r="G24" s="124" t="s">
        <v>233</v>
      </c>
    </row>
    <row r="25" spans="2:15" x14ac:dyDescent="0.2">
      <c r="B25" t="s">
        <v>122</v>
      </c>
      <c r="D25" s="11">
        <f>E23/70</f>
        <v>4.0628571428571423</v>
      </c>
      <c r="E25">
        <v>4</v>
      </c>
      <c r="F25" s="80">
        <f>D23*E25</f>
        <v>40</v>
      </c>
      <c r="G25" s="86">
        <f>F25</f>
        <v>40</v>
      </c>
    </row>
    <row r="26" spans="2:15" x14ac:dyDescent="0.2">
      <c r="B26" t="s">
        <v>124</v>
      </c>
      <c r="E26" s="2"/>
      <c r="F26" s="80"/>
      <c r="G26" s="86">
        <f>F26</f>
        <v>0</v>
      </c>
    </row>
    <row r="27" spans="2:15" x14ac:dyDescent="0.2">
      <c r="B27" t="s">
        <v>125</v>
      </c>
      <c r="E27" s="2"/>
      <c r="F27" s="80"/>
      <c r="G27" s="86">
        <f>F27</f>
        <v>0</v>
      </c>
    </row>
    <row r="28" spans="2:15" x14ac:dyDescent="0.2">
      <c r="E28" s="2"/>
      <c r="G28" s="46"/>
    </row>
    <row r="29" spans="2:15" x14ac:dyDescent="0.2">
      <c r="B29" s="40" t="s">
        <v>123</v>
      </c>
      <c r="C29" s="40"/>
      <c r="D29" s="40"/>
      <c r="E29" s="56">
        <f>(E25*E20)+(E26*E20)+(E27*E20)</f>
        <v>40</v>
      </c>
    </row>
    <row r="30" spans="2:15" x14ac:dyDescent="0.2">
      <c r="B30" t="s">
        <v>126</v>
      </c>
      <c r="D30" s="11">
        <f>E29*0.25</f>
        <v>10</v>
      </c>
      <c r="E30">
        <v>10</v>
      </c>
      <c r="L30" s="61"/>
    </row>
    <row r="32" spans="2:15" x14ac:dyDescent="0.2">
      <c r="B32" s="16" t="s">
        <v>64</v>
      </c>
      <c r="C32" s="16"/>
      <c r="D32" s="16"/>
      <c r="E32" s="16"/>
      <c r="F32" s="16"/>
      <c r="G32" s="40"/>
      <c r="H32" s="40"/>
      <c r="I32" s="40"/>
      <c r="J32" s="40"/>
      <c r="K32" s="40"/>
      <c r="L32" s="40"/>
      <c r="M32" s="40"/>
      <c r="N32" s="40"/>
      <c r="O32" s="40"/>
    </row>
    <row r="33" spans="2:7" x14ac:dyDescent="0.2">
      <c r="B33" t="s">
        <v>28</v>
      </c>
      <c r="E33" s="8">
        <v>9500000</v>
      </c>
      <c r="G33" s="136" t="s">
        <v>104</v>
      </c>
    </row>
    <row r="34" spans="2:7" x14ac:dyDescent="0.2">
      <c r="B34" t="s">
        <v>107</v>
      </c>
      <c r="E34" s="8">
        <f>(E33-DATOS!L66)*DATOS!M66</f>
        <v>308625.24231</v>
      </c>
      <c r="G34" s="136"/>
    </row>
    <row r="35" spans="2:7" x14ac:dyDescent="0.2">
      <c r="B35" t="s">
        <v>65</v>
      </c>
      <c r="E35" s="8">
        <f>G53*DATOS!H31</f>
        <v>55676505.600000009</v>
      </c>
      <c r="G35" s="46"/>
    </row>
    <row r="36" spans="2:7" x14ac:dyDescent="0.2">
      <c r="B36" t="s">
        <v>67</v>
      </c>
      <c r="E36" s="8">
        <f>E35*DATOS!B39</f>
        <v>4454120.4480000008</v>
      </c>
    </row>
    <row r="37" spans="2:7" x14ac:dyDescent="0.2">
      <c r="B37" t="s">
        <v>86</v>
      </c>
      <c r="E37" s="8">
        <f>E35*DATOS!B49</f>
        <v>3897355.3920000009</v>
      </c>
    </row>
    <row r="38" spans="2:7" x14ac:dyDescent="0.2">
      <c r="B38" t="s">
        <v>68</v>
      </c>
      <c r="E38" s="8">
        <f>E35*DATOS!B83</f>
        <v>3618972.8640000005</v>
      </c>
    </row>
    <row r="39" spans="2:7" x14ac:dyDescent="0.2">
      <c r="B39" t="s">
        <v>129</v>
      </c>
      <c r="E39" s="8">
        <f>E35*DATOS!B91</f>
        <v>8351475.8400000008</v>
      </c>
    </row>
    <row r="41" spans="2:7" x14ac:dyDescent="0.2">
      <c r="B41" s="54" t="s">
        <v>69</v>
      </c>
      <c r="C41" s="54"/>
      <c r="D41" s="54"/>
      <c r="E41" s="55">
        <f>SUM(E33:E39)</f>
        <v>85807055.386310026</v>
      </c>
    </row>
    <row r="43" spans="2:7" x14ac:dyDescent="0.2">
      <c r="B43" s="40"/>
      <c r="C43" s="40" t="s">
        <v>120</v>
      </c>
    </row>
    <row r="44" spans="2:7" ht="85" x14ac:dyDescent="0.2">
      <c r="B44" s="12"/>
      <c r="C44" s="13" t="s">
        <v>46</v>
      </c>
      <c r="D44" s="13" t="s">
        <v>47</v>
      </c>
      <c r="E44" s="13" t="s">
        <v>48</v>
      </c>
    </row>
    <row r="45" spans="2:7" x14ac:dyDescent="0.2">
      <c r="B45" s="12" t="s">
        <v>49</v>
      </c>
      <c r="C45" s="12"/>
      <c r="D45" s="12"/>
      <c r="E45" s="44">
        <f>20*E30*1.1</f>
        <v>220.00000000000003</v>
      </c>
    </row>
    <row r="46" spans="2:7" x14ac:dyDescent="0.2">
      <c r="B46" s="12" t="s">
        <v>50</v>
      </c>
      <c r="C46" s="43">
        <f>($E$25*70)+($E$26*90)+($E$27*60)</f>
        <v>280</v>
      </c>
      <c r="D46" s="44">
        <f>$E$22</f>
        <v>31.6</v>
      </c>
      <c r="E46" s="12"/>
    </row>
    <row r="47" spans="2:7" x14ac:dyDescent="0.2">
      <c r="B47" s="12" t="s">
        <v>51</v>
      </c>
      <c r="C47" s="43">
        <f>($E$25*70)+($E$26*90)+($E$27*60)</f>
        <v>280</v>
      </c>
      <c r="D47" s="44">
        <f>$E$22</f>
        <v>31.6</v>
      </c>
      <c r="E47" s="12"/>
    </row>
    <row r="48" spans="2:7" x14ac:dyDescent="0.2">
      <c r="B48" s="12" t="s">
        <v>52</v>
      </c>
      <c r="C48" s="43">
        <f>($E$25*70)+($E$26*90)+($E$27*60)</f>
        <v>280</v>
      </c>
      <c r="D48" s="44">
        <f>$E$22</f>
        <v>31.6</v>
      </c>
      <c r="E48" s="12"/>
    </row>
    <row r="49" spans="2:7" x14ac:dyDescent="0.2">
      <c r="B49" s="12" t="s">
        <v>53</v>
      </c>
      <c r="C49" s="43">
        <f>($E$25*70)+($E$26*90)+($E$27*60)</f>
        <v>280</v>
      </c>
      <c r="D49" s="44">
        <f>$E$22</f>
        <v>31.6</v>
      </c>
      <c r="E49" s="12"/>
    </row>
    <row r="50" spans="2:7" x14ac:dyDescent="0.2">
      <c r="B50" s="12" t="s">
        <v>54</v>
      </c>
      <c r="C50" s="43">
        <f>($E$25*70)+($E$26*90)+($E$27*60)</f>
        <v>280</v>
      </c>
      <c r="D50" s="44">
        <f t="shared" ref="D50:D55" si="0">$E$22</f>
        <v>31.6</v>
      </c>
      <c r="E50" s="12"/>
    </row>
    <row r="51" spans="2:7" x14ac:dyDescent="0.2">
      <c r="B51" s="12" t="s">
        <v>55</v>
      </c>
      <c r="C51" s="43">
        <f t="shared" ref="C51:C55" si="1">($E$25*70)+($E$26*90)+($E$27*60)</f>
        <v>280</v>
      </c>
      <c r="D51" s="44">
        <f t="shared" si="0"/>
        <v>31.6</v>
      </c>
      <c r="E51" s="12"/>
    </row>
    <row r="52" spans="2:7" x14ac:dyDescent="0.2">
      <c r="B52" s="12" t="s">
        <v>56</v>
      </c>
      <c r="C52" s="43">
        <f t="shared" si="1"/>
        <v>280</v>
      </c>
      <c r="D52" s="44">
        <f t="shared" si="0"/>
        <v>31.6</v>
      </c>
      <c r="E52" s="12"/>
      <c r="G52" s="91" t="s">
        <v>239</v>
      </c>
    </row>
    <row r="53" spans="2:7" x14ac:dyDescent="0.2">
      <c r="B53" s="12" t="s">
        <v>57</v>
      </c>
      <c r="C53" s="43">
        <f t="shared" si="1"/>
        <v>280</v>
      </c>
      <c r="D53" s="44">
        <f t="shared" si="0"/>
        <v>31.6</v>
      </c>
      <c r="E53" s="12"/>
      <c r="G53" s="90">
        <f>C56+D56+E56</f>
        <v>3336</v>
      </c>
    </row>
    <row r="54" spans="2:7" x14ac:dyDescent="0.2">
      <c r="B54" s="12" t="s">
        <v>58</v>
      </c>
      <c r="C54" s="43">
        <f t="shared" si="1"/>
        <v>280</v>
      </c>
      <c r="D54" s="44">
        <f t="shared" si="0"/>
        <v>31.6</v>
      </c>
      <c r="E54" s="12"/>
    </row>
    <row r="55" spans="2:7" x14ac:dyDescent="0.2">
      <c r="B55" s="14" t="s">
        <v>59</v>
      </c>
      <c r="C55" s="43">
        <f t="shared" si="1"/>
        <v>280</v>
      </c>
      <c r="D55" s="44">
        <f t="shared" si="0"/>
        <v>31.6</v>
      </c>
      <c r="E55" s="14"/>
      <c r="G55" s="76" t="s">
        <v>62</v>
      </c>
    </row>
    <row r="56" spans="2:7" x14ac:dyDescent="0.2">
      <c r="B56" s="12" t="s">
        <v>25</v>
      </c>
      <c r="C56" s="43">
        <f>SUM(C46:C55)</f>
        <v>2800</v>
      </c>
      <c r="D56" s="63">
        <f t="shared" ref="D56:E56" si="2">SUM(D45:D55)</f>
        <v>316</v>
      </c>
      <c r="E56" s="64">
        <f t="shared" si="2"/>
        <v>220.00000000000003</v>
      </c>
      <c r="G56" s="76">
        <f>SUM(C56:D56)</f>
        <v>3116</v>
      </c>
    </row>
    <row r="58" spans="2:7" x14ac:dyDescent="0.2">
      <c r="B58" s="16" t="s">
        <v>70</v>
      </c>
      <c r="C58" s="16"/>
      <c r="D58" s="16"/>
      <c r="E58" s="16"/>
      <c r="F58" s="16"/>
    </row>
    <row r="60" spans="2:7" x14ac:dyDescent="0.2">
      <c r="B60" t="s">
        <v>108</v>
      </c>
      <c r="E60" s="58">
        <f>E41/C56</f>
        <v>30645.376923682154</v>
      </c>
      <c r="G60" s="3" t="s">
        <v>223</v>
      </c>
    </row>
    <row r="61" spans="2:7" x14ac:dyDescent="0.2">
      <c r="B61" t="s">
        <v>127</v>
      </c>
      <c r="D61" s="40"/>
      <c r="E61" s="53"/>
      <c r="G61" s="77">
        <v>1020000</v>
      </c>
    </row>
    <row r="62" spans="2:7" x14ac:dyDescent="0.2">
      <c r="B62" s="40" t="s">
        <v>128</v>
      </c>
      <c r="C62" s="40"/>
      <c r="D62" s="52">
        <v>1</v>
      </c>
      <c r="E62" s="53">
        <f>$E$60*70*D62</f>
        <v>2145176.3846577508</v>
      </c>
      <c r="G62" s="77">
        <v>2040000</v>
      </c>
    </row>
    <row r="63" spans="2:7" x14ac:dyDescent="0.2">
      <c r="B63" t="s">
        <v>110</v>
      </c>
      <c r="D63" s="40"/>
      <c r="E63" s="53"/>
    </row>
  </sheetData>
  <mergeCells count="4">
    <mergeCell ref="G33:G34"/>
    <mergeCell ref="G5:G6"/>
    <mergeCell ref="B18:C18"/>
    <mergeCell ref="B23:C23"/>
  </mergeCells>
  <phoneticPr fontId="4" type="noConversion"/>
  <pageMargins left="0.7" right="0.7" top="0.75" bottom="0.75" header="0.3" footer="0.3"/>
  <pageSetup orientation="portrait" horizontalDpi="0" verticalDpi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P96"/>
  <sheetViews>
    <sheetView topLeftCell="A23" zoomScale="75" workbookViewId="0">
      <selection activeCell="L36" sqref="L36"/>
    </sheetView>
  </sheetViews>
  <sheetFormatPr baseColWidth="10" defaultRowHeight="16" x14ac:dyDescent="0.2"/>
  <cols>
    <col min="5" max="5" width="19" customWidth="1"/>
    <col min="6" max="6" width="19.5" customWidth="1"/>
    <col min="7" max="7" width="18.1640625" customWidth="1"/>
    <col min="8" max="8" width="18.83203125" customWidth="1"/>
    <col min="9" max="9" width="16.5" customWidth="1"/>
    <col min="10" max="10" width="16.6640625" customWidth="1"/>
    <col min="11" max="11" width="19.33203125" customWidth="1"/>
    <col min="12" max="12" width="18" customWidth="1"/>
    <col min="13" max="13" width="16.6640625" customWidth="1"/>
    <col min="14" max="14" width="16.33203125" customWidth="1"/>
    <col min="15" max="15" width="16.6640625" customWidth="1"/>
    <col min="16" max="16" width="15.6640625" customWidth="1"/>
    <col min="17" max="17" width="16.83203125" customWidth="1"/>
    <col min="18" max="18" width="20.1640625" customWidth="1"/>
    <col min="19" max="19" width="14" customWidth="1"/>
  </cols>
  <sheetData>
    <row r="2" spans="1:8" x14ac:dyDescent="0.2">
      <c r="A2" s="1"/>
    </row>
    <row r="4" spans="1:8" x14ac:dyDescent="0.2">
      <c r="A4" s="10" t="s">
        <v>41</v>
      </c>
      <c r="B4" s="9"/>
      <c r="C4" s="9"/>
      <c r="D4" s="9"/>
      <c r="E4" s="9"/>
      <c r="F4" s="9"/>
      <c r="G4" s="9"/>
      <c r="H4" s="9"/>
    </row>
    <row r="6" spans="1:8" x14ac:dyDescent="0.2">
      <c r="F6" s="35" t="s">
        <v>45</v>
      </c>
    </row>
    <row r="7" spans="1:8" x14ac:dyDescent="0.2">
      <c r="A7" t="s">
        <v>42</v>
      </c>
      <c r="F7">
        <v>70</v>
      </c>
      <c r="G7" t="s">
        <v>0</v>
      </c>
    </row>
    <row r="8" spans="1:8" x14ac:dyDescent="0.2">
      <c r="A8" t="s">
        <v>43</v>
      </c>
      <c r="F8">
        <v>90</v>
      </c>
      <c r="G8" t="s">
        <v>0</v>
      </c>
    </row>
    <row r="9" spans="1:8" x14ac:dyDescent="0.2">
      <c r="A9" t="s">
        <v>44</v>
      </c>
      <c r="F9">
        <v>60</v>
      </c>
      <c r="G9" t="s">
        <v>0</v>
      </c>
    </row>
    <row r="11" spans="1:8" x14ac:dyDescent="0.2">
      <c r="A11" t="s">
        <v>72</v>
      </c>
      <c r="F11" s="17">
        <v>2040000</v>
      </c>
    </row>
    <row r="12" spans="1:8" x14ac:dyDescent="0.2">
      <c r="A12" t="s">
        <v>73</v>
      </c>
      <c r="F12" s="17">
        <v>1020000</v>
      </c>
    </row>
    <row r="13" spans="1:8" x14ac:dyDescent="0.2">
      <c r="F13" s="17"/>
    </row>
    <row r="14" spans="1:8" x14ac:dyDescent="0.2">
      <c r="F14" s="17"/>
    </row>
    <row r="15" spans="1:8" x14ac:dyDescent="0.2">
      <c r="F15" s="17"/>
    </row>
    <row r="16" spans="1:8" x14ac:dyDescent="0.2">
      <c r="F16" s="17"/>
    </row>
    <row r="17" spans="1:16" x14ac:dyDescent="0.2">
      <c r="F17" s="17"/>
    </row>
    <row r="18" spans="1:16" x14ac:dyDescent="0.2">
      <c r="F18" s="17"/>
    </row>
    <row r="20" spans="1:16" x14ac:dyDescent="0.2">
      <c r="A20" s="10" t="s">
        <v>18</v>
      </c>
      <c r="B20" s="9"/>
      <c r="C20" s="9"/>
      <c r="D20" s="9"/>
      <c r="E20" s="9"/>
      <c r="F20" s="9"/>
      <c r="G20" s="9"/>
      <c r="H20" s="9"/>
      <c r="J20" s="9"/>
      <c r="K20" s="9"/>
      <c r="L20" s="9"/>
      <c r="M20" s="9"/>
      <c r="N20" s="9"/>
      <c r="O20" s="9"/>
      <c r="P20" s="9"/>
    </row>
    <row r="22" spans="1:16" x14ac:dyDescent="0.2">
      <c r="B22" s="126" t="s">
        <v>88</v>
      </c>
      <c r="C22" s="127"/>
      <c r="D22" s="127"/>
      <c r="E22" s="127"/>
      <c r="F22" s="127"/>
      <c r="G22" s="127"/>
      <c r="H22" s="128"/>
      <c r="J22" s="126"/>
      <c r="K22" s="127"/>
      <c r="L22" s="127"/>
      <c r="M22" s="127"/>
      <c r="N22" s="127"/>
      <c r="O22" s="127"/>
      <c r="P22" s="128"/>
    </row>
    <row r="23" spans="1:16" ht="51" customHeight="1" x14ac:dyDescent="0.2">
      <c r="B23" s="23" t="s">
        <v>71</v>
      </c>
      <c r="G23" s="24" t="s">
        <v>24</v>
      </c>
      <c r="H23" s="25" t="s">
        <v>25</v>
      </c>
      <c r="J23" s="23"/>
      <c r="N23" s="24"/>
      <c r="O23" s="33"/>
      <c r="P23" s="25"/>
    </row>
    <row r="24" spans="1:16" x14ac:dyDescent="0.2">
      <c r="B24" s="23"/>
      <c r="H24" s="26"/>
      <c r="J24" s="23"/>
      <c r="P24" s="26"/>
    </row>
    <row r="25" spans="1:16" x14ac:dyDescent="0.2">
      <c r="B25" s="23" t="s">
        <v>1</v>
      </c>
      <c r="F25" s="27">
        <v>13210</v>
      </c>
      <c r="G25" s="28">
        <v>0.14000000000000001</v>
      </c>
      <c r="H25" s="148">
        <f>F25*(1+G25)</f>
        <v>15059.400000000001</v>
      </c>
      <c r="J25" s="23"/>
      <c r="M25" s="27"/>
      <c r="N25" s="28"/>
      <c r="O25" s="27"/>
      <c r="P25" s="34"/>
    </row>
    <row r="26" spans="1:16" x14ac:dyDescent="0.2">
      <c r="B26" s="23" t="s">
        <v>2</v>
      </c>
      <c r="G26" s="28"/>
      <c r="H26" s="26"/>
      <c r="J26" s="23"/>
      <c r="N26" s="28"/>
      <c r="P26" s="26"/>
    </row>
    <row r="27" spans="1:16" x14ac:dyDescent="0.2">
      <c r="B27" s="23" t="s">
        <v>3</v>
      </c>
      <c r="G27" s="28"/>
      <c r="H27" s="26"/>
      <c r="J27" s="23"/>
      <c r="N27" s="28"/>
      <c r="P27" s="26"/>
    </row>
    <row r="28" spans="1:16" x14ac:dyDescent="0.2">
      <c r="B28" s="23"/>
      <c r="G28" s="28"/>
      <c r="H28" s="26"/>
      <c r="J28" s="23"/>
      <c r="N28" s="28"/>
      <c r="P28" s="26"/>
    </row>
    <row r="29" spans="1:16" x14ac:dyDescent="0.2">
      <c r="B29" s="23" t="s">
        <v>19</v>
      </c>
      <c r="G29" s="28"/>
      <c r="H29" s="26"/>
      <c r="J29" s="23"/>
      <c r="N29" s="28"/>
      <c r="P29" s="26"/>
    </row>
    <row r="30" spans="1:16" x14ac:dyDescent="0.2">
      <c r="B30" s="23"/>
      <c r="G30" s="28"/>
      <c r="H30" s="26"/>
      <c r="J30" s="23"/>
      <c r="N30" s="28"/>
      <c r="P30" s="26"/>
    </row>
    <row r="31" spans="1:16" x14ac:dyDescent="0.2">
      <c r="B31" s="23" t="s">
        <v>1</v>
      </c>
      <c r="F31" s="27">
        <v>14640</v>
      </c>
      <c r="G31" s="28">
        <v>0.14000000000000001</v>
      </c>
      <c r="H31" s="148">
        <f>F31*(1+G31)</f>
        <v>16689.600000000002</v>
      </c>
      <c r="J31" s="23"/>
      <c r="N31" s="28"/>
      <c r="P31" s="26"/>
    </row>
    <row r="32" spans="1:16" x14ac:dyDescent="0.2">
      <c r="B32" s="23" t="s">
        <v>2</v>
      </c>
      <c r="F32" s="27"/>
      <c r="G32" s="28"/>
      <c r="H32" s="26"/>
      <c r="J32" s="23"/>
      <c r="N32" s="28"/>
      <c r="P32" s="26"/>
    </row>
    <row r="33" spans="1:16" x14ac:dyDescent="0.2">
      <c r="B33" s="29" t="s">
        <v>3</v>
      </c>
      <c r="C33" s="30"/>
      <c r="D33" s="30"/>
      <c r="E33" s="30"/>
      <c r="F33" s="30"/>
      <c r="G33" s="31"/>
      <c r="H33" s="32"/>
      <c r="J33" s="29"/>
      <c r="K33" s="30"/>
      <c r="L33" s="30"/>
      <c r="M33" s="30"/>
      <c r="N33" s="31"/>
      <c r="O33" s="30"/>
      <c r="P33" s="32"/>
    </row>
    <row r="34" spans="1:16" x14ac:dyDescent="0.2">
      <c r="G34" s="28"/>
      <c r="N34" s="28"/>
    </row>
    <row r="35" spans="1:16" x14ac:dyDescent="0.2">
      <c r="B35" t="s">
        <v>164</v>
      </c>
      <c r="E35">
        <v>20</v>
      </c>
      <c r="G35" s="7"/>
    </row>
    <row r="36" spans="1:16" x14ac:dyDescent="0.2">
      <c r="G36" s="7"/>
    </row>
    <row r="37" spans="1:16" x14ac:dyDescent="0.2">
      <c r="A37" s="10" t="s">
        <v>20</v>
      </c>
      <c r="B37" s="9"/>
      <c r="C37" s="9"/>
      <c r="D37" s="9"/>
      <c r="E37" s="9"/>
      <c r="F37" s="9"/>
      <c r="G37" s="9"/>
      <c r="H37" s="9"/>
    </row>
    <row r="39" spans="1:16" x14ac:dyDescent="0.2">
      <c r="B39" s="36">
        <v>0.08</v>
      </c>
      <c r="C39" t="s">
        <v>66</v>
      </c>
      <c r="G39" s="7"/>
    </row>
    <row r="40" spans="1:16" x14ac:dyDescent="0.2">
      <c r="G40" s="7"/>
    </row>
    <row r="41" spans="1:16" x14ac:dyDescent="0.2">
      <c r="B41" t="s">
        <v>21</v>
      </c>
      <c r="G41" s="7"/>
    </row>
    <row r="42" spans="1:16" x14ac:dyDescent="0.2">
      <c r="B42" t="s">
        <v>22</v>
      </c>
      <c r="G42" s="7"/>
    </row>
    <row r="43" spans="1:16" x14ac:dyDescent="0.2">
      <c r="B43" t="s">
        <v>23</v>
      </c>
      <c r="G43" s="7"/>
    </row>
    <row r="44" spans="1:16" x14ac:dyDescent="0.2">
      <c r="G44" s="7"/>
    </row>
    <row r="45" spans="1:16" hidden="1" x14ac:dyDescent="0.2">
      <c r="G45" s="7"/>
    </row>
    <row r="46" spans="1:16" hidden="1" x14ac:dyDescent="0.2">
      <c r="G46" s="7"/>
    </row>
    <row r="47" spans="1:16" x14ac:dyDescent="0.2">
      <c r="A47" s="9" t="s">
        <v>89</v>
      </c>
      <c r="B47" s="9"/>
      <c r="C47" s="9"/>
      <c r="D47" s="9"/>
      <c r="E47" s="9"/>
      <c r="F47" s="9"/>
      <c r="G47" s="9"/>
      <c r="H47" s="9"/>
    </row>
    <row r="49" spans="2:13" x14ac:dyDescent="0.2">
      <c r="B49" s="36">
        <v>7.0000000000000007E-2</v>
      </c>
      <c r="C49" t="s">
        <v>66</v>
      </c>
    </row>
    <row r="51" spans="2:13" x14ac:dyDescent="0.2">
      <c r="B51" s="3" t="s">
        <v>4</v>
      </c>
      <c r="F51" s="3" t="s">
        <v>10</v>
      </c>
    </row>
    <row r="52" spans="2:13" x14ac:dyDescent="0.2">
      <c r="B52" s="3" t="s">
        <v>5</v>
      </c>
      <c r="F52" s="3" t="s">
        <v>6</v>
      </c>
    </row>
    <row r="53" spans="2:13" x14ac:dyDescent="0.2">
      <c r="B53" s="3" t="s">
        <v>6</v>
      </c>
      <c r="F53" s="3"/>
    </row>
    <row r="54" spans="2:13" x14ac:dyDescent="0.2">
      <c r="B54" s="3"/>
      <c r="F54" s="3" t="s">
        <v>11</v>
      </c>
      <c r="J54" s="10" t="s">
        <v>79</v>
      </c>
      <c r="K54" s="9"/>
      <c r="L54" s="9"/>
      <c r="M54" s="9"/>
    </row>
    <row r="55" spans="2:13" x14ac:dyDescent="0.2">
      <c r="B55" s="3" t="s">
        <v>7</v>
      </c>
      <c r="F55" s="3" t="s">
        <v>6</v>
      </c>
    </row>
    <row r="56" spans="2:13" x14ac:dyDescent="0.2">
      <c r="B56" s="3" t="s">
        <v>6</v>
      </c>
      <c r="F56" s="3"/>
      <c r="J56" s="129" t="s">
        <v>80</v>
      </c>
      <c r="K56" s="129"/>
      <c r="L56" s="129"/>
      <c r="M56" s="129"/>
    </row>
    <row r="57" spans="2:13" x14ac:dyDescent="0.2">
      <c r="B57" s="3"/>
      <c r="F57" s="3" t="s">
        <v>12</v>
      </c>
      <c r="J57" s="20" t="s">
        <v>81</v>
      </c>
      <c r="K57" s="20" t="s">
        <v>82</v>
      </c>
      <c r="L57" s="20" t="s">
        <v>83</v>
      </c>
      <c r="M57" s="20" t="s">
        <v>84</v>
      </c>
    </row>
    <row r="58" spans="2:13" x14ac:dyDescent="0.2">
      <c r="B58" s="3" t="s">
        <v>8</v>
      </c>
      <c r="F58" s="3" t="s">
        <v>13</v>
      </c>
      <c r="J58" s="21">
        <v>0.01</v>
      </c>
      <c r="K58" s="21">
        <v>337050</v>
      </c>
      <c r="L58" s="21">
        <v>0</v>
      </c>
      <c r="M58" s="22">
        <v>2.5000000000000001E-2</v>
      </c>
    </row>
    <row r="59" spans="2:13" x14ac:dyDescent="0.2">
      <c r="B59" s="3" t="s">
        <v>6</v>
      </c>
      <c r="F59" s="3" t="s">
        <v>14</v>
      </c>
      <c r="J59" s="21">
        <v>337050.01</v>
      </c>
      <c r="K59" s="21">
        <v>776142.9</v>
      </c>
      <c r="L59" s="21">
        <v>8426.25</v>
      </c>
      <c r="M59" s="22">
        <v>2.5999999999999999E-2</v>
      </c>
    </row>
    <row r="60" spans="2:13" x14ac:dyDescent="0.2">
      <c r="B60" s="3"/>
      <c r="F60" s="3"/>
      <c r="J60" s="21">
        <v>776142.91</v>
      </c>
      <c r="K60" s="21">
        <v>1053400.4099999999</v>
      </c>
      <c r="L60" s="21">
        <v>19842.66</v>
      </c>
      <c r="M60" s="22">
        <v>2.7E-2</v>
      </c>
    </row>
    <row r="61" spans="2:13" x14ac:dyDescent="0.2">
      <c r="B61" s="3" t="s">
        <v>9</v>
      </c>
      <c r="F61" s="3" t="s">
        <v>15</v>
      </c>
      <c r="J61" s="21">
        <v>1053400.42</v>
      </c>
      <c r="K61" s="21">
        <v>1325856.3700000001</v>
      </c>
      <c r="L61" s="21">
        <v>27328.62</v>
      </c>
      <c r="M61" s="22">
        <v>2.8000000000000001E-2</v>
      </c>
    </row>
    <row r="62" spans="2:13" x14ac:dyDescent="0.2">
      <c r="B62" s="3" t="s">
        <v>6</v>
      </c>
      <c r="F62" s="3" t="s">
        <v>13</v>
      </c>
      <c r="J62" s="21">
        <v>1325856.3799999999</v>
      </c>
      <c r="K62" s="21">
        <v>1668739.75</v>
      </c>
      <c r="L62" s="21">
        <v>34957.379999999997</v>
      </c>
      <c r="M62" s="22">
        <v>2.9000000000000001E-2</v>
      </c>
    </row>
    <row r="63" spans="2:13" x14ac:dyDescent="0.2">
      <c r="B63" s="3"/>
      <c r="F63" s="3"/>
      <c r="J63" s="21">
        <v>1668739.76</v>
      </c>
      <c r="K63" s="21">
        <v>2188818.9900000002</v>
      </c>
      <c r="L63" s="21">
        <v>44901</v>
      </c>
      <c r="M63" s="22">
        <v>0.03</v>
      </c>
    </row>
    <row r="64" spans="2:13" x14ac:dyDescent="0.2">
      <c r="B64" s="37" t="s">
        <v>16</v>
      </c>
      <c r="J64" s="21">
        <v>2188819</v>
      </c>
      <c r="K64" s="21">
        <v>3146685.51</v>
      </c>
      <c r="L64" s="21">
        <v>60503.38</v>
      </c>
      <c r="M64" s="22">
        <v>3.1E-2</v>
      </c>
    </row>
    <row r="65" spans="2:13" x14ac:dyDescent="0.2">
      <c r="B65" s="3" t="s">
        <v>17</v>
      </c>
      <c r="J65" s="21">
        <v>3146685.52</v>
      </c>
      <c r="K65" s="21">
        <v>4944269.46</v>
      </c>
      <c r="L65" s="21">
        <v>90197.24</v>
      </c>
      <c r="M65" s="22">
        <v>3.2000000000000001E-2</v>
      </c>
    </row>
    <row r="66" spans="2:13" x14ac:dyDescent="0.2">
      <c r="J66" s="21">
        <v>4944269.47</v>
      </c>
      <c r="K66" s="21">
        <v>9858156.0099999998</v>
      </c>
      <c r="L66" s="21">
        <v>147719.93</v>
      </c>
      <c r="M66" s="22">
        <v>3.3000000000000002E-2</v>
      </c>
    </row>
    <row r="67" spans="2:13" hidden="1" x14ac:dyDescent="0.2">
      <c r="J67" s="21">
        <v>9858156.0199999996</v>
      </c>
      <c r="K67" s="21">
        <v>42976151.210000001</v>
      </c>
      <c r="L67" s="21">
        <v>309878.18</v>
      </c>
      <c r="M67" s="22">
        <v>3.4000000000000002E-2</v>
      </c>
    </row>
    <row r="68" spans="2:13" hidden="1" x14ac:dyDescent="0.2">
      <c r="J68" s="21">
        <v>42976151.219999999</v>
      </c>
      <c r="K68" s="21" t="s">
        <v>85</v>
      </c>
      <c r="L68" s="21">
        <v>1435890.02</v>
      </c>
      <c r="M68" s="22">
        <v>3.5000000000000003E-2</v>
      </c>
    </row>
    <row r="69" spans="2:13" hidden="1" x14ac:dyDescent="0.2"/>
    <row r="70" spans="2:13" hidden="1" x14ac:dyDescent="0.2"/>
    <row r="71" spans="2:13" hidden="1" x14ac:dyDescent="0.2"/>
    <row r="72" spans="2:13" hidden="1" x14ac:dyDescent="0.2"/>
    <row r="73" spans="2:13" hidden="1" x14ac:dyDescent="0.2"/>
    <row r="74" spans="2:13" hidden="1" x14ac:dyDescent="0.2"/>
    <row r="75" spans="2:13" hidden="1" x14ac:dyDescent="0.2"/>
    <row r="76" spans="2:13" hidden="1" x14ac:dyDescent="0.2"/>
    <row r="77" spans="2:13" hidden="1" x14ac:dyDescent="0.2"/>
    <row r="78" spans="2:13" hidden="1" x14ac:dyDescent="0.2"/>
    <row r="79" spans="2:13" hidden="1" x14ac:dyDescent="0.2"/>
    <row r="80" spans="2:13" hidden="1" x14ac:dyDescent="0.2"/>
    <row r="81" spans="1:8" x14ac:dyDescent="0.2">
      <c r="A81" s="9" t="s">
        <v>26</v>
      </c>
      <c r="B81" s="9"/>
      <c r="C81" s="9"/>
      <c r="D81" s="9"/>
      <c r="E81" s="9"/>
    </row>
    <row r="83" spans="1:8" x14ac:dyDescent="0.2">
      <c r="B83" s="38">
        <v>6.5000000000000002E-2</v>
      </c>
      <c r="C83" t="s">
        <v>66</v>
      </c>
    </row>
    <row r="85" spans="1:8" x14ac:dyDescent="0.2">
      <c r="B85" t="s">
        <v>90</v>
      </c>
      <c r="G85" t="s">
        <v>75</v>
      </c>
      <c r="H85" t="s">
        <v>76</v>
      </c>
    </row>
    <row r="86" spans="1:8" x14ac:dyDescent="0.2">
      <c r="B86" t="s">
        <v>91</v>
      </c>
      <c r="G86" s="18">
        <v>6.5000000000000002E-2</v>
      </c>
    </row>
    <row r="89" spans="1:8" x14ac:dyDescent="0.2">
      <c r="A89" s="9" t="s">
        <v>27</v>
      </c>
      <c r="B89" s="9"/>
      <c r="C89" s="9"/>
      <c r="D89" s="9"/>
      <c r="E89" s="9"/>
    </row>
    <row r="91" spans="1:8" x14ac:dyDescent="0.2">
      <c r="B91" s="39">
        <v>0.15</v>
      </c>
      <c r="C91" t="s">
        <v>74</v>
      </c>
    </row>
    <row r="94" spans="1:8" x14ac:dyDescent="0.2">
      <c r="G94" t="s">
        <v>75</v>
      </c>
      <c r="H94" t="s">
        <v>76</v>
      </c>
    </row>
    <row r="95" spans="1:8" x14ac:dyDescent="0.2">
      <c r="E95" t="s">
        <v>77</v>
      </c>
      <c r="G95" s="4">
        <v>0.2</v>
      </c>
    </row>
    <row r="96" spans="1:8" x14ac:dyDescent="0.2">
      <c r="E96" t="s">
        <v>78</v>
      </c>
      <c r="G96" s="19">
        <v>0.31430000000000002</v>
      </c>
    </row>
  </sheetData>
  <mergeCells count="3">
    <mergeCell ref="B22:H22"/>
    <mergeCell ref="J22:P22"/>
    <mergeCell ref="J56:M56"/>
  </mergeCells>
  <phoneticPr fontId="4" type="noConversion"/>
  <pageMargins left="0.7" right="0.7" top="0.75" bottom="0.75" header="0.3" footer="0.3"/>
  <pageSetup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9.9978637043366805E-2"/>
  </sheetPr>
  <dimension ref="A1:N63"/>
  <sheetViews>
    <sheetView zoomScale="70" zoomScaleNormal="70" workbookViewId="0">
      <selection activeCell="K50" sqref="K50"/>
    </sheetView>
  </sheetViews>
  <sheetFormatPr baseColWidth="10" defaultRowHeight="16" x14ac:dyDescent="0.2"/>
  <cols>
    <col min="1" max="1" width="7.1640625" customWidth="1"/>
    <col min="2" max="2" width="24.5" customWidth="1"/>
    <col min="3" max="3" width="27.1640625" customWidth="1"/>
    <col min="4" max="4" width="8.83203125" customWidth="1"/>
    <col min="5" max="5" width="25.5" customWidth="1"/>
    <col min="7" max="7" width="35.1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41" t="s">
        <v>275</v>
      </c>
      <c r="C1" s="41"/>
      <c r="D1" s="42" t="s">
        <v>92</v>
      </c>
    </row>
    <row r="2" spans="1:7" x14ac:dyDescent="0.2">
      <c r="B2" s="40" t="s">
        <v>140</v>
      </c>
      <c r="C2" s="40"/>
      <c r="D2" s="42" t="s">
        <v>238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748.62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3.2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131</v>
      </c>
    </row>
    <row r="11" spans="1:7" x14ac:dyDescent="0.2">
      <c r="B11" t="s">
        <v>116</v>
      </c>
      <c r="E11" s="2" t="s">
        <v>115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20.25" customHeight="1" x14ac:dyDescent="0.2">
      <c r="B18" s="131" t="s">
        <v>119</v>
      </c>
      <c r="C18" s="131"/>
      <c r="E18" s="11">
        <f>E5*E6</f>
        <v>598.89600000000007</v>
      </c>
      <c r="F18" t="s">
        <v>0</v>
      </c>
      <c r="G18" s="46"/>
    </row>
    <row r="19" spans="2:14" x14ac:dyDescent="0.2">
      <c r="B19" t="s">
        <v>94</v>
      </c>
      <c r="E19" s="40">
        <f>E5*(E7+E8)</f>
        <v>3593.3760000000007</v>
      </c>
      <c r="F19" t="s">
        <v>0</v>
      </c>
    </row>
    <row r="20" spans="2:14" x14ac:dyDescent="0.2">
      <c r="B20" t="s">
        <v>39</v>
      </c>
      <c r="D20" s="11">
        <f>E19/E18</f>
        <v>6</v>
      </c>
      <c r="E20" s="11">
        <f>D20</f>
        <v>6</v>
      </c>
      <c r="F20" t="s">
        <v>40</v>
      </c>
      <c r="G20" s="46"/>
    </row>
    <row r="21" spans="2:14" x14ac:dyDescent="0.2">
      <c r="B21" t="s">
        <v>101</v>
      </c>
      <c r="E21">
        <f>E20*3</f>
        <v>18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59.889600000000009</v>
      </c>
      <c r="F22" t="s">
        <v>0</v>
      </c>
      <c r="G22" s="59"/>
    </row>
    <row r="23" spans="2:14" ht="37.5" customHeight="1" x14ac:dyDescent="0.2">
      <c r="B23" s="130" t="s">
        <v>121</v>
      </c>
      <c r="C23" s="130"/>
      <c r="D23" s="49">
        <v>6</v>
      </c>
      <c r="E23" s="51">
        <f>E18-E22</f>
        <v>539.0064000000001</v>
      </c>
      <c r="F23" s="49" t="s">
        <v>0</v>
      </c>
      <c r="G23" s="46"/>
    </row>
    <row r="24" spans="2:14" ht="17" x14ac:dyDescent="0.2">
      <c r="B24" s="5"/>
      <c r="C24" s="5"/>
      <c r="E24" s="11"/>
      <c r="G24" s="124" t="s">
        <v>233</v>
      </c>
    </row>
    <row r="25" spans="2:14" ht="15.75" customHeight="1" x14ac:dyDescent="0.2">
      <c r="B25" t="s">
        <v>122</v>
      </c>
      <c r="D25" s="11">
        <f>E23/70</f>
        <v>7.7000914285714304</v>
      </c>
      <c r="F25" s="80">
        <f>D23*E25</f>
        <v>0</v>
      </c>
      <c r="G25" s="86">
        <f>F25</f>
        <v>0</v>
      </c>
    </row>
    <row r="26" spans="2:14" x14ac:dyDescent="0.2">
      <c r="B26" t="s">
        <v>141</v>
      </c>
      <c r="D26">
        <f>E23/90</f>
        <v>5.9889600000000014</v>
      </c>
      <c r="E26" s="2"/>
      <c r="F26" s="80">
        <f>D23*E26</f>
        <v>0</v>
      </c>
      <c r="G26" s="86">
        <f>F26</f>
        <v>0</v>
      </c>
    </row>
    <row r="27" spans="2:14" x14ac:dyDescent="0.2">
      <c r="B27" t="s">
        <v>125</v>
      </c>
      <c r="D27">
        <f>E23/90</f>
        <v>5.9889600000000014</v>
      </c>
      <c r="E27" s="2">
        <v>6</v>
      </c>
      <c r="F27" s="80">
        <f>D23*E27</f>
        <v>36</v>
      </c>
      <c r="G27" s="86">
        <f>F27</f>
        <v>36</v>
      </c>
    </row>
    <row r="28" spans="2:14" x14ac:dyDescent="0.2">
      <c r="E28" s="2"/>
      <c r="G28" s="86"/>
    </row>
    <row r="29" spans="2:14" x14ac:dyDescent="0.2">
      <c r="B29" s="40" t="s">
        <v>123</v>
      </c>
      <c r="C29" s="40"/>
      <c r="D29" s="40"/>
      <c r="E29" s="56">
        <f>SUM(F25:F27)</f>
        <v>36</v>
      </c>
    </row>
    <row r="30" spans="2:14" x14ac:dyDescent="0.2">
      <c r="B30" t="s">
        <v>126</v>
      </c>
      <c r="D30" s="11">
        <f>E29*0.25</f>
        <v>9</v>
      </c>
      <c r="E30">
        <v>9</v>
      </c>
    </row>
    <row r="31" spans="2:14" x14ac:dyDescent="0.2">
      <c r="G31" s="40"/>
    </row>
    <row r="32" spans="2:14" x14ac:dyDescent="0.2">
      <c r="B32" s="16" t="s">
        <v>64</v>
      </c>
      <c r="C32" s="16"/>
      <c r="D32" s="16"/>
      <c r="E32" s="16"/>
      <c r="F32" s="16"/>
      <c r="G32" s="40"/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62">
        <v>11500000</v>
      </c>
      <c r="G33" s="136" t="s">
        <v>104</v>
      </c>
    </row>
    <row r="34" spans="2:13" x14ac:dyDescent="0.2">
      <c r="B34" t="s">
        <v>107</v>
      </c>
      <c r="E34" s="8">
        <f>(E33-DATOS!L67)*DATOS!M67</f>
        <v>380464.14188000001</v>
      </c>
      <c r="G34" s="136"/>
    </row>
    <row r="35" spans="2:13" x14ac:dyDescent="0.2">
      <c r="B35" t="s">
        <v>65</v>
      </c>
      <c r="E35" s="8">
        <f>G53*DATOS!H31</f>
        <v>44585224.968960002</v>
      </c>
      <c r="G35" s="46"/>
    </row>
    <row r="36" spans="2:13" x14ac:dyDescent="0.2">
      <c r="B36" t="s">
        <v>67</v>
      </c>
      <c r="E36" s="8">
        <f>E35*DATOS!B39</f>
        <v>3566817.9975168002</v>
      </c>
    </row>
    <row r="37" spans="2:13" x14ac:dyDescent="0.2">
      <c r="B37" t="s">
        <v>86</v>
      </c>
      <c r="E37" s="8">
        <f>E35*DATOS!B49</f>
        <v>3120965.7478272002</v>
      </c>
    </row>
    <row r="38" spans="2:13" x14ac:dyDescent="0.2">
      <c r="B38" t="s">
        <v>68</v>
      </c>
      <c r="E38" s="8">
        <f>E35*DATOS!B83</f>
        <v>2898039.6229824</v>
      </c>
    </row>
    <row r="39" spans="2:13" x14ac:dyDescent="0.2">
      <c r="B39" t="s">
        <v>129</v>
      </c>
      <c r="E39" s="8">
        <f>E35*DATOS!B91</f>
        <v>6687783.7453439999</v>
      </c>
    </row>
    <row r="41" spans="2:13" x14ac:dyDescent="0.2">
      <c r="B41" s="54" t="s">
        <v>69</v>
      </c>
      <c r="C41" s="54"/>
      <c r="D41" s="54"/>
      <c r="E41" s="55">
        <f>SUM(E33:E39)</f>
        <v>72739296.224510401</v>
      </c>
      <c r="M41" s="46"/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</row>
    <row r="45" spans="2:13" x14ac:dyDescent="0.2">
      <c r="B45" s="12" t="s">
        <v>49</v>
      </c>
      <c r="C45" s="12"/>
      <c r="D45" s="12"/>
      <c r="E45" s="44">
        <f>E30*13*1.3</f>
        <v>152.1</v>
      </c>
      <c r="I45" s="6"/>
      <c r="J45" s="6"/>
      <c r="K45" s="108"/>
      <c r="M45" s="86"/>
    </row>
    <row r="46" spans="2:13" x14ac:dyDescent="0.2">
      <c r="B46" s="12" t="s">
        <v>50</v>
      </c>
      <c r="C46" s="43">
        <f>($E$25*70)+($E$26*90)+($E$27*60)</f>
        <v>360</v>
      </c>
      <c r="D46" s="44">
        <f>$E$22</f>
        <v>59.889600000000009</v>
      </c>
      <c r="E46" s="12"/>
      <c r="G46" s="117"/>
      <c r="I46" s="6"/>
      <c r="J46" s="6"/>
      <c r="K46" s="108"/>
      <c r="M46" s="86"/>
    </row>
    <row r="47" spans="2:13" x14ac:dyDescent="0.2">
      <c r="B47" s="12" t="s">
        <v>51</v>
      </c>
      <c r="C47" s="43">
        <f t="shared" ref="C47:C51" si="0">($E$25*70)+($E$26*90)+($E$27*60)</f>
        <v>360</v>
      </c>
      <c r="D47" s="44">
        <f t="shared" ref="D47:D51" si="1">$E$22</f>
        <v>59.889600000000009</v>
      </c>
      <c r="E47" s="12"/>
      <c r="I47" s="6"/>
      <c r="J47" s="6"/>
      <c r="K47" s="108"/>
      <c r="M47" s="86"/>
    </row>
    <row r="48" spans="2:13" x14ac:dyDescent="0.2">
      <c r="B48" s="12" t="s">
        <v>52</v>
      </c>
      <c r="C48" s="43">
        <f t="shared" si="0"/>
        <v>360</v>
      </c>
      <c r="D48" s="44">
        <f t="shared" si="1"/>
        <v>59.889600000000009</v>
      </c>
      <c r="E48" s="12"/>
      <c r="I48" s="6"/>
      <c r="J48" s="6"/>
      <c r="K48" s="108"/>
      <c r="M48" s="86"/>
    </row>
    <row r="49" spans="2:13" x14ac:dyDescent="0.2">
      <c r="B49" s="12" t="s">
        <v>53</v>
      </c>
      <c r="C49" s="43">
        <f t="shared" si="0"/>
        <v>360</v>
      </c>
      <c r="D49" s="44">
        <f t="shared" si="1"/>
        <v>59.889600000000009</v>
      </c>
      <c r="E49" s="12"/>
      <c r="I49" s="6"/>
      <c r="J49" s="6"/>
      <c r="K49" s="108"/>
      <c r="M49" s="86"/>
    </row>
    <row r="50" spans="2:13" x14ac:dyDescent="0.2">
      <c r="B50" s="12" t="s">
        <v>54</v>
      </c>
      <c r="C50" s="43">
        <f t="shared" si="0"/>
        <v>360</v>
      </c>
      <c r="D50" s="44">
        <f t="shared" si="1"/>
        <v>59.889600000000009</v>
      </c>
      <c r="E50" s="12"/>
      <c r="I50" s="6"/>
      <c r="J50" s="6"/>
      <c r="K50" s="108"/>
      <c r="M50" s="86"/>
    </row>
    <row r="51" spans="2:13" x14ac:dyDescent="0.2">
      <c r="B51" s="12" t="s">
        <v>55</v>
      </c>
      <c r="C51" s="43">
        <f t="shared" si="0"/>
        <v>360</v>
      </c>
      <c r="D51" s="44">
        <f t="shared" si="1"/>
        <v>59.889600000000009</v>
      </c>
      <c r="E51" s="12"/>
      <c r="I51" s="6"/>
      <c r="J51" s="6"/>
      <c r="K51" s="108"/>
      <c r="M51" s="86"/>
    </row>
    <row r="52" spans="2:13" x14ac:dyDescent="0.2">
      <c r="B52" s="12"/>
      <c r="C52" s="43"/>
      <c r="D52" s="44"/>
      <c r="E52" s="12"/>
      <c r="G52" s="91" t="s">
        <v>239</v>
      </c>
      <c r="I52" s="6"/>
      <c r="J52" s="6"/>
      <c r="K52" s="108"/>
      <c r="M52" s="86"/>
    </row>
    <row r="53" spans="2:13" x14ac:dyDescent="0.2">
      <c r="B53" s="12"/>
      <c r="C53" s="43"/>
      <c r="D53" s="44"/>
      <c r="E53" s="12"/>
      <c r="G53" s="90">
        <f>C56+D56+E56</f>
        <v>2671.4375999999997</v>
      </c>
      <c r="I53" s="6"/>
      <c r="J53" s="6"/>
      <c r="K53" s="108"/>
      <c r="M53" s="86"/>
    </row>
    <row r="54" spans="2:13" x14ac:dyDescent="0.2">
      <c r="B54" s="12"/>
      <c r="C54" s="43"/>
      <c r="D54" s="44"/>
      <c r="E54" s="12"/>
      <c r="I54" s="6"/>
      <c r="J54" s="6"/>
      <c r="K54" s="108"/>
      <c r="M54" s="86"/>
    </row>
    <row r="55" spans="2:13" x14ac:dyDescent="0.2">
      <c r="B55" s="14"/>
      <c r="C55" s="43"/>
      <c r="D55" s="44"/>
      <c r="E55" s="14"/>
      <c r="G55" s="76" t="s">
        <v>62</v>
      </c>
      <c r="I55" s="6"/>
      <c r="J55" s="6"/>
      <c r="K55" s="108"/>
      <c r="M55" s="86"/>
    </row>
    <row r="56" spans="2:13" x14ac:dyDescent="0.2">
      <c r="B56" s="12" t="s">
        <v>25</v>
      </c>
      <c r="C56" s="63">
        <f>SUM(C45:C55)</f>
        <v>2160</v>
      </c>
      <c r="D56" s="64">
        <f>SUM(D45:D55)</f>
        <v>359.33760000000007</v>
      </c>
      <c r="E56" s="64">
        <f>SUM(E45:E55)</f>
        <v>152.1</v>
      </c>
      <c r="G56" s="125">
        <f>SUM(C56:D56)</f>
        <v>2519.3375999999998</v>
      </c>
      <c r="I56" s="6"/>
      <c r="J56" s="6"/>
      <c r="K56" s="108"/>
      <c r="M56" s="86"/>
    </row>
    <row r="57" spans="2:13" x14ac:dyDescent="0.2">
      <c r="I57" s="6"/>
      <c r="J57" s="6"/>
      <c r="K57" s="108"/>
      <c r="M57" s="86"/>
    </row>
    <row r="58" spans="2:13" x14ac:dyDescent="0.2">
      <c r="B58" s="16" t="s">
        <v>70</v>
      </c>
      <c r="C58" s="16"/>
      <c r="D58" s="16"/>
      <c r="E58" s="16"/>
      <c r="F58" s="16"/>
    </row>
    <row r="60" spans="2:13" x14ac:dyDescent="0.2">
      <c r="B60" t="s">
        <v>108</v>
      </c>
      <c r="E60" s="58">
        <f>E41/C56</f>
        <v>33675.60010394</v>
      </c>
    </row>
    <row r="61" spans="2:13" x14ac:dyDescent="0.2">
      <c r="B61" s="40" t="s">
        <v>127</v>
      </c>
      <c r="C61" s="40"/>
      <c r="D61" s="65">
        <v>1</v>
      </c>
      <c r="E61" s="53">
        <f>$E$60*90*D61</f>
        <v>3030804.0093545998</v>
      </c>
      <c r="G61" s="3" t="s">
        <v>223</v>
      </c>
    </row>
    <row r="62" spans="2:13" x14ac:dyDescent="0.2">
      <c r="B62" s="40" t="s">
        <v>128</v>
      </c>
      <c r="C62" s="40"/>
      <c r="D62" s="66">
        <v>1</v>
      </c>
      <c r="E62" s="53">
        <f>$E$60*70*D62</f>
        <v>2357292.0072758002</v>
      </c>
      <c r="G62" s="77">
        <v>1020000</v>
      </c>
    </row>
    <row r="63" spans="2:13" x14ac:dyDescent="0.2">
      <c r="B63" s="40" t="s">
        <v>110</v>
      </c>
      <c r="C63" s="40"/>
      <c r="D63" s="65">
        <v>0</v>
      </c>
      <c r="E63" s="53">
        <f>$E$60*60*D63</f>
        <v>0</v>
      </c>
      <c r="G63" s="77">
        <v>2040000</v>
      </c>
    </row>
  </sheetData>
  <mergeCells count="4">
    <mergeCell ref="G5:G6"/>
    <mergeCell ref="B18:C18"/>
    <mergeCell ref="B23:C23"/>
    <mergeCell ref="G33:G34"/>
  </mergeCells>
  <pageMargins left="0.7" right="0.7" top="0.75" bottom="0.75" header="0.3" footer="0.3"/>
  <pageSetup orientation="portrait" r:id="rId1"/>
  <ignoredErrors>
    <ignoredError sqref="E62" formula="1"/>
  </ignoredError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</sheetPr>
  <dimension ref="A1:N63"/>
  <sheetViews>
    <sheetView showGridLines="0" topLeftCell="A30" zoomScale="64" zoomScaleNormal="80" workbookViewId="0">
      <selection activeCell="K50" sqref="K50"/>
    </sheetView>
  </sheetViews>
  <sheetFormatPr baseColWidth="10" defaultRowHeight="16" x14ac:dyDescent="0.2"/>
  <cols>
    <col min="1" max="1" width="7.1640625" customWidth="1"/>
    <col min="2" max="2" width="25.83203125" customWidth="1"/>
    <col min="3" max="3" width="22.6640625" customWidth="1"/>
    <col min="4" max="4" width="8.83203125" customWidth="1"/>
    <col min="5" max="5" width="25.5" customWidth="1"/>
    <col min="6" max="6" width="9" customWidth="1"/>
    <col min="7" max="7" width="37.3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3" customWidth="1"/>
    <col min="14" max="14" width="18.83203125" customWidth="1"/>
  </cols>
  <sheetData>
    <row r="1" spans="1:7" x14ac:dyDescent="0.2">
      <c r="A1" s="40" t="s">
        <v>28</v>
      </c>
      <c r="B1" s="41" t="s">
        <v>244</v>
      </c>
      <c r="C1" s="41"/>
      <c r="D1" s="42" t="s">
        <v>92</v>
      </c>
    </row>
    <row r="2" spans="1:7" x14ac:dyDescent="0.2">
      <c r="B2" s="40" t="s">
        <v>142</v>
      </c>
      <c r="C2" s="40"/>
      <c r="D2" s="42" t="s">
        <v>245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1146.1600000000001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143</v>
      </c>
    </row>
    <row r="11" spans="1:7" x14ac:dyDescent="0.2">
      <c r="B11" t="s">
        <v>116</v>
      </c>
      <c r="E11" s="2" t="s">
        <v>144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31.5" customHeight="1" x14ac:dyDescent="0.2">
      <c r="B18" s="131" t="s">
        <v>119</v>
      </c>
      <c r="C18" s="131"/>
      <c r="E18" s="11">
        <f>E5*E6</f>
        <v>916.92800000000011</v>
      </c>
      <c r="F18" t="s">
        <v>0</v>
      </c>
      <c r="G18" s="46"/>
    </row>
    <row r="19" spans="2:14" x14ac:dyDescent="0.2">
      <c r="B19" t="s">
        <v>94</v>
      </c>
      <c r="E19" s="40">
        <f>E5*(E7+E8)</f>
        <v>7335.4240000000009</v>
      </c>
      <c r="F19" t="s">
        <v>0</v>
      </c>
    </row>
    <row r="20" spans="2:14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  <c r="G20" s="46"/>
    </row>
    <row r="21" spans="2:14" x14ac:dyDescent="0.2">
      <c r="B21" t="s">
        <v>101</v>
      </c>
      <c r="E21">
        <f>E20*3</f>
        <v>24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91.69280000000002</v>
      </c>
      <c r="F22" t="s">
        <v>0</v>
      </c>
      <c r="G22" s="59"/>
    </row>
    <row r="23" spans="2:14" ht="34.5" customHeight="1" x14ac:dyDescent="0.2">
      <c r="B23" s="130" t="s">
        <v>121</v>
      </c>
      <c r="C23" s="130"/>
      <c r="D23" s="49">
        <v>8</v>
      </c>
      <c r="E23" s="51">
        <f>E18-E22</f>
        <v>825.23520000000008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11.789074285714287</v>
      </c>
      <c r="E25">
        <v>11</v>
      </c>
      <c r="F25" s="80">
        <f>E25*$D$23</f>
        <v>88</v>
      </c>
      <c r="G25" s="86">
        <f>F25</f>
        <v>88</v>
      </c>
    </row>
    <row r="26" spans="2:14" x14ac:dyDescent="0.2">
      <c r="B26" t="s">
        <v>141</v>
      </c>
      <c r="D26" s="2"/>
      <c r="F26" s="80">
        <f>E26*$D$23</f>
        <v>0</v>
      </c>
      <c r="G26" s="86">
        <f>F26</f>
        <v>0</v>
      </c>
    </row>
    <row r="27" spans="2:14" x14ac:dyDescent="0.2">
      <c r="B27" t="s">
        <v>125</v>
      </c>
      <c r="D27" s="2">
        <f>E23/60</f>
        <v>13.753920000000001</v>
      </c>
      <c r="E27">
        <v>1</v>
      </c>
      <c r="F27" s="80">
        <f>E27*$D$23</f>
        <v>8</v>
      </c>
      <c r="G27" s="86">
        <f>F27</f>
        <v>8</v>
      </c>
    </row>
    <row r="29" spans="2:14" x14ac:dyDescent="0.2">
      <c r="B29" s="40" t="s">
        <v>123</v>
      </c>
      <c r="C29" s="40"/>
      <c r="D29" s="40"/>
      <c r="E29" s="56">
        <f>SUM(G25:G27)</f>
        <v>96</v>
      </c>
    </row>
    <row r="30" spans="2:14" x14ac:dyDescent="0.2">
      <c r="B30" t="s">
        <v>126</v>
      </c>
      <c r="E30" s="11">
        <f>E29*0.25</f>
        <v>24</v>
      </c>
      <c r="G30" s="40"/>
    </row>
    <row r="31" spans="2:14" x14ac:dyDescent="0.2">
      <c r="G31" s="40"/>
    </row>
    <row r="32" spans="2:14" x14ac:dyDescent="0.2">
      <c r="B32" s="16" t="s">
        <v>64</v>
      </c>
      <c r="C32" s="16"/>
      <c r="D32" s="16"/>
      <c r="E32" s="16"/>
      <c r="F32" s="16"/>
      <c r="G32" s="40"/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62">
        <v>22500000</v>
      </c>
      <c r="F33" s="40"/>
      <c r="G33" s="40"/>
      <c r="H33" s="40"/>
    </row>
    <row r="34" spans="2:13" x14ac:dyDescent="0.2">
      <c r="B34" t="s">
        <v>107</v>
      </c>
      <c r="E34" s="8">
        <f>(E33-DATOS!L67)*DATOS!M67</f>
        <v>754464.14188000001</v>
      </c>
      <c r="F34" s="40"/>
      <c r="G34" s="40"/>
    </row>
    <row r="35" spans="2:13" x14ac:dyDescent="0.2">
      <c r="B35" t="s">
        <v>65</v>
      </c>
      <c r="E35" s="8">
        <f>G53*DATOS!H31</f>
        <v>128829398.99904002</v>
      </c>
    </row>
    <row r="36" spans="2:13" x14ac:dyDescent="0.2">
      <c r="B36" t="s">
        <v>67</v>
      </c>
      <c r="E36" s="8">
        <f>E35*DATOS!B39</f>
        <v>10306351.919923201</v>
      </c>
      <c r="G36" s="40"/>
    </row>
    <row r="37" spans="2:13" x14ac:dyDescent="0.2">
      <c r="B37" t="s">
        <v>86</v>
      </c>
      <c r="E37" s="8">
        <f>E35*DATOS!B49</f>
        <v>9018057.9299328029</v>
      </c>
    </row>
    <row r="38" spans="2:13" x14ac:dyDescent="0.2">
      <c r="B38" t="s">
        <v>68</v>
      </c>
      <c r="E38" s="8">
        <f>E35*DATOS!B83</f>
        <v>8373910.9349376019</v>
      </c>
      <c r="G38" s="46"/>
    </row>
    <row r="39" spans="2:13" x14ac:dyDescent="0.2">
      <c r="B39" t="s">
        <v>129</v>
      </c>
      <c r="E39" s="8">
        <f>E35*DATOS!B91</f>
        <v>19324409.849856004</v>
      </c>
    </row>
    <row r="41" spans="2:13" x14ac:dyDescent="0.2">
      <c r="B41" s="54" t="s">
        <v>69</v>
      </c>
      <c r="C41" s="54"/>
      <c r="D41" s="54"/>
      <c r="E41" s="55">
        <f>SUM(E33:E39)</f>
        <v>199106593.77556962</v>
      </c>
      <c r="G41" s="136" t="s">
        <v>104</v>
      </c>
    </row>
    <row r="42" spans="2:13" x14ac:dyDescent="0.2">
      <c r="G42" s="136"/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  <c r="M44" s="46"/>
    </row>
    <row r="45" spans="2:13" x14ac:dyDescent="0.2">
      <c r="B45" s="12" t="s">
        <v>49</v>
      </c>
      <c r="C45" s="12"/>
      <c r="D45" s="12"/>
      <c r="E45" s="44">
        <f>E30*13*1.3</f>
        <v>405.6</v>
      </c>
    </row>
    <row r="46" spans="2:13" x14ac:dyDescent="0.2">
      <c r="B46" s="12" t="s">
        <v>50</v>
      </c>
      <c r="C46" s="43">
        <f>($E$25*70)+($E$26*90)+($E$27*60)</f>
        <v>830</v>
      </c>
      <c r="D46" s="44">
        <f>$E$22</f>
        <v>91.69280000000002</v>
      </c>
      <c r="E46" s="12"/>
    </row>
    <row r="47" spans="2:13" x14ac:dyDescent="0.2">
      <c r="B47" s="12" t="s">
        <v>51</v>
      </c>
      <c r="C47" s="43">
        <f t="shared" ref="C47:C52" si="0">($E$25*70)+($E$26*90)+($E$27*60)</f>
        <v>830</v>
      </c>
      <c r="D47" s="44">
        <f t="shared" ref="D47:D53" si="1">$E$22</f>
        <v>91.69280000000002</v>
      </c>
      <c r="E47" s="12"/>
    </row>
    <row r="48" spans="2:13" x14ac:dyDescent="0.2">
      <c r="B48" s="12" t="s">
        <v>52</v>
      </c>
      <c r="C48" s="43">
        <f t="shared" si="0"/>
        <v>830</v>
      </c>
      <c r="D48" s="44">
        <f t="shared" si="1"/>
        <v>91.69280000000002</v>
      </c>
      <c r="E48" s="12"/>
      <c r="I48" s="6"/>
      <c r="J48" s="6"/>
      <c r="K48" s="108"/>
    </row>
    <row r="49" spans="2:11" x14ac:dyDescent="0.2">
      <c r="B49" s="12" t="s">
        <v>53</v>
      </c>
      <c r="C49" s="43">
        <f t="shared" si="0"/>
        <v>830</v>
      </c>
      <c r="D49" s="44">
        <f t="shared" si="1"/>
        <v>91.69280000000002</v>
      </c>
      <c r="E49" s="12"/>
      <c r="I49" s="6"/>
      <c r="J49" s="6"/>
      <c r="K49" s="108"/>
    </row>
    <row r="50" spans="2:11" x14ac:dyDescent="0.2">
      <c r="B50" s="12" t="s">
        <v>54</v>
      </c>
      <c r="C50" s="43">
        <f t="shared" si="0"/>
        <v>830</v>
      </c>
      <c r="D50" s="44">
        <f t="shared" si="1"/>
        <v>91.69280000000002</v>
      </c>
      <c r="E50" s="12"/>
      <c r="I50" s="6"/>
      <c r="J50" s="6"/>
      <c r="K50" s="108"/>
    </row>
    <row r="51" spans="2:11" x14ac:dyDescent="0.2">
      <c r="B51" s="12" t="s">
        <v>55</v>
      </c>
      <c r="C51" s="43">
        <f t="shared" si="0"/>
        <v>830</v>
      </c>
      <c r="D51" s="44">
        <f t="shared" si="1"/>
        <v>91.69280000000002</v>
      </c>
      <c r="E51" s="12"/>
      <c r="I51" s="6"/>
      <c r="J51" s="6"/>
      <c r="K51" s="108"/>
    </row>
    <row r="52" spans="2:11" x14ac:dyDescent="0.2">
      <c r="B52" s="12" t="s">
        <v>56</v>
      </c>
      <c r="C52" s="43">
        <f t="shared" si="0"/>
        <v>830</v>
      </c>
      <c r="D52" s="44">
        <f t="shared" si="1"/>
        <v>91.69280000000002</v>
      </c>
      <c r="E52" s="12"/>
      <c r="G52" s="91" t="s">
        <v>239</v>
      </c>
      <c r="I52" s="6"/>
      <c r="J52" s="6"/>
      <c r="K52" s="108"/>
    </row>
    <row r="53" spans="2:11" x14ac:dyDescent="0.2">
      <c r="B53" s="12" t="s">
        <v>57</v>
      </c>
      <c r="C53" s="43">
        <f>($E$25*70)+($E$26*90)+($E$27*60)-60</f>
        <v>770</v>
      </c>
      <c r="D53" s="44">
        <f t="shared" si="1"/>
        <v>91.69280000000002</v>
      </c>
      <c r="E53" s="12"/>
      <c r="G53" s="90">
        <f>C56+D56+E56</f>
        <v>7719.1424000000006</v>
      </c>
      <c r="I53" s="6"/>
      <c r="J53" s="6"/>
      <c r="K53" s="108"/>
    </row>
    <row r="54" spans="2:11" x14ac:dyDescent="0.2">
      <c r="B54" s="12" t="s">
        <v>58</v>
      </c>
      <c r="C54" s="43"/>
      <c r="D54" s="44"/>
      <c r="E54" s="12"/>
      <c r="I54" s="6"/>
      <c r="J54" s="6"/>
      <c r="K54" s="108"/>
    </row>
    <row r="55" spans="2:11" x14ac:dyDescent="0.2">
      <c r="B55" s="14" t="s">
        <v>59</v>
      </c>
      <c r="C55" s="43"/>
      <c r="D55" s="44"/>
      <c r="E55" s="14"/>
      <c r="G55" s="76" t="s">
        <v>62</v>
      </c>
      <c r="I55" s="6"/>
      <c r="J55" s="6"/>
      <c r="K55" s="108"/>
    </row>
    <row r="56" spans="2:11" x14ac:dyDescent="0.2">
      <c r="B56" s="12" t="s">
        <v>25</v>
      </c>
      <c r="C56" s="63">
        <f>SUM(C45:C55)</f>
        <v>6580</v>
      </c>
      <c r="D56" s="63">
        <f t="shared" ref="D56:E56" si="2">SUM(D45:D55)</f>
        <v>733.54240000000016</v>
      </c>
      <c r="E56" s="64">
        <f t="shared" si="2"/>
        <v>405.6</v>
      </c>
      <c r="G56" s="76">
        <f>SUM(C56:D56)</f>
        <v>7313.5424000000003</v>
      </c>
    </row>
    <row r="58" spans="2:11" x14ac:dyDescent="0.2">
      <c r="B58" s="16" t="s">
        <v>70</v>
      </c>
      <c r="C58" s="16"/>
      <c r="D58" s="16"/>
      <c r="E58" s="16"/>
      <c r="F58" s="16"/>
      <c r="G58" s="16"/>
    </row>
    <row r="60" spans="2:11" x14ac:dyDescent="0.2">
      <c r="B60" t="s">
        <v>108</v>
      </c>
      <c r="E60" s="58">
        <f>E41/C56</f>
        <v>30259.360756165595</v>
      </c>
    </row>
    <row r="61" spans="2:11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11" x14ac:dyDescent="0.2">
      <c r="B62" s="40" t="s">
        <v>128</v>
      </c>
      <c r="C62" s="40"/>
      <c r="D62" s="66">
        <v>1</v>
      </c>
      <c r="E62" s="53">
        <f>$E$60*70*D62</f>
        <v>2118155.2529315916</v>
      </c>
      <c r="G62" s="77">
        <v>1020000</v>
      </c>
    </row>
    <row r="63" spans="2:11" x14ac:dyDescent="0.2">
      <c r="B63" s="40" t="s">
        <v>110</v>
      </c>
      <c r="C63" s="40"/>
      <c r="D63" s="65">
        <v>1</v>
      </c>
      <c r="E63" s="53">
        <f t="shared" ref="E63" si="3">$E$60*90*D63</f>
        <v>2723342.4680549037</v>
      </c>
      <c r="G63" s="77">
        <v>2040000</v>
      </c>
    </row>
  </sheetData>
  <mergeCells count="4">
    <mergeCell ref="G41:G42"/>
    <mergeCell ref="G5:G6"/>
    <mergeCell ref="B18:C18"/>
    <mergeCell ref="B23:C23"/>
  </mergeCells>
  <pageMargins left="0.7" right="0.7" top="0.75" bottom="0.75" header="0.3" footer="0.3"/>
  <pageSetup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A1:O63"/>
  <sheetViews>
    <sheetView showGridLines="0" topLeftCell="A31" zoomScale="68" zoomScaleNormal="80" workbookViewId="0">
      <selection activeCell="K50" sqref="K50"/>
    </sheetView>
  </sheetViews>
  <sheetFormatPr baseColWidth="10" defaultRowHeight="16" x14ac:dyDescent="0.2"/>
  <cols>
    <col min="1" max="1" width="7.1640625" customWidth="1"/>
    <col min="2" max="2" width="26.6640625" customWidth="1"/>
    <col min="3" max="3" width="24.6640625" customWidth="1"/>
    <col min="4" max="4" width="8.83203125" customWidth="1"/>
    <col min="5" max="5" width="25.5" customWidth="1"/>
    <col min="7" max="7" width="37.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3.5" customWidth="1"/>
    <col min="14" max="14" width="18.83203125" customWidth="1"/>
  </cols>
  <sheetData>
    <row r="1" spans="1:14" x14ac:dyDescent="0.2">
      <c r="A1" s="40" t="s">
        <v>28</v>
      </c>
      <c r="B1" s="101" t="s">
        <v>246</v>
      </c>
      <c r="C1" s="101"/>
      <c r="D1" s="102" t="s">
        <v>92</v>
      </c>
      <c r="E1" s="47"/>
      <c r="F1" s="47"/>
      <c r="G1" s="47"/>
      <c r="H1" s="47"/>
      <c r="I1" s="47"/>
      <c r="J1" s="47"/>
      <c r="K1" s="47"/>
      <c r="L1" s="47"/>
      <c r="M1" s="47"/>
    </row>
    <row r="2" spans="1:14" x14ac:dyDescent="0.2">
      <c r="B2" s="40" t="s">
        <v>145</v>
      </c>
      <c r="C2" s="40"/>
      <c r="D2" s="42" t="s">
        <v>245</v>
      </c>
    </row>
    <row r="4" spans="1:14" x14ac:dyDescent="0.2">
      <c r="B4" s="16" t="s">
        <v>63</v>
      </c>
      <c r="C4" s="16"/>
      <c r="D4" s="16"/>
      <c r="E4" s="16"/>
      <c r="F4" s="16"/>
      <c r="G4" s="16"/>
      <c r="H4" s="16"/>
      <c r="I4" s="15"/>
      <c r="J4" s="15"/>
      <c r="K4" s="15"/>
      <c r="L4" s="15"/>
      <c r="M4" s="15"/>
      <c r="N4" s="15"/>
    </row>
    <row r="5" spans="1:14" x14ac:dyDescent="0.2">
      <c r="B5" t="s">
        <v>111</v>
      </c>
      <c r="E5" s="2">
        <v>1261.75</v>
      </c>
      <c r="F5" t="s">
        <v>0</v>
      </c>
      <c r="G5" s="139" t="s">
        <v>60</v>
      </c>
    </row>
    <row r="6" spans="1:14" x14ac:dyDescent="0.2">
      <c r="B6" t="s">
        <v>30</v>
      </c>
      <c r="E6" s="2">
        <v>0.8</v>
      </c>
      <c r="G6" s="139"/>
    </row>
    <row r="7" spans="1:14" x14ac:dyDescent="0.2">
      <c r="B7" t="s">
        <v>31</v>
      </c>
      <c r="E7" s="2">
        <v>4.8</v>
      </c>
    </row>
    <row r="8" spans="1:14" x14ac:dyDescent="0.2">
      <c r="B8" t="s">
        <v>93</v>
      </c>
      <c r="E8" s="2">
        <v>1.6</v>
      </c>
    </row>
    <row r="9" spans="1:14" x14ac:dyDescent="0.2">
      <c r="B9" t="s">
        <v>33</v>
      </c>
      <c r="E9" s="2" t="s">
        <v>113</v>
      </c>
      <c r="F9" t="s">
        <v>34</v>
      </c>
    </row>
    <row r="10" spans="1:14" x14ac:dyDescent="0.2">
      <c r="B10" t="s">
        <v>95</v>
      </c>
      <c r="E10" s="2" t="s">
        <v>146</v>
      </c>
    </row>
    <row r="11" spans="1:14" x14ac:dyDescent="0.2">
      <c r="B11" t="s">
        <v>116</v>
      </c>
      <c r="E11" s="2" t="s">
        <v>147</v>
      </c>
      <c r="F11" t="s">
        <v>34</v>
      </c>
      <c r="G11" s="46"/>
    </row>
    <row r="12" spans="1:14" ht="34" x14ac:dyDescent="0.2">
      <c r="B12" t="s">
        <v>35</v>
      </c>
      <c r="E12" s="45" t="s">
        <v>117</v>
      </c>
      <c r="G12" s="46"/>
    </row>
    <row r="13" spans="1:14" x14ac:dyDescent="0.2">
      <c r="B13" t="s">
        <v>36</v>
      </c>
      <c r="E13">
        <v>0</v>
      </c>
      <c r="F13" t="s">
        <v>34</v>
      </c>
    </row>
    <row r="14" spans="1:14" x14ac:dyDescent="0.2">
      <c r="B14" t="s">
        <v>37</v>
      </c>
      <c r="E14">
        <v>0</v>
      </c>
      <c r="F14" t="s">
        <v>34</v>
      </c>
    </row>
    <row r="15" spans="1:14" x14ac:dyDescent="0.2">
      <c r="B15" t="s">
        <v>38</v>
      </c>
      <c r="E15">
        <v>3</v>
      </c>
      <c r="F15" t="s">
        <v>34</v>
      </c>
    </row>
    <row r="16" spans="1:14" x14ac:dyDescent="0.2">
      <c r="B16" t="s">
        <v>96</v>
      </c>
      <c r="E16" s="2" t="s">
        <v>118</v>
      </c>
    </row>
    <row r="18" spans="2:15" ht="18" customHeight="1" x14ac:dyDescent="0.2">
      <c r="B18" s="131" t="s">
        <v>119</v>
      </c>
      <c r="C18" s="131"/>
      <c r="E18" s="11">
        <f>E5*E6</f>
        <v>1009.4000000000001</v>
      </c>
      <c r="F18" t="s">
        <v>0</v>
      </c>
      <c r="G18" s="46"/>
    </row>
    <row r="19" spans="2:15" x14ac:dyDescent="0.2">
      <c r="B19" t="s">
        <v>94</v>
      </c>
      <c r="E19" s="75">
        <f>E5*(E7+E8)</f>
        <v>8075.2000000000007</v>
      </c>
      <c r="F19" t="s">
        <v>0</v>
      </c>
    </row>
    <row r="20" spans="2:15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  <c r="G20" s="46"/>
    </row>
    <row r="21" spans="2:15" x14ac:dyDescent="0.2">
      <c r="B21" t="s">
        <v>101</v>
      </c>
      <c r="E21">
        <f>E20*3</f>
        <v>24</v>
      </c>
      <c r="F21" t="s">
        <v>34</v>
      </c>
      <c r="G21" s="46"/>
      <c r="H21" t="s">
        <v>106</v>
      </c>
    </row>
    <row r="22" spans="2:15" x14ac:dyDescent="0.2">
      <c r="B22" t="s">
        <v>61</v>
      </c>
      <c r="D22" s="4">
        <v>0.1</v>
      </c>
      <c r="E22" s="11">
        <f>E18*0.1</f>
        <v>100.94000000000001</v>
      </c>
      <c r="F22" t="s">
        <v>0</v>
      </c>
      <c r="G22" s="59"/>
    </row>
    <row r="23" spans="2:15" ht="36.75" customHeight="1" x14ac:dyDescent="0.2">
      <c r="B23" s="130" t="s">
        <v>121</v>
      </c>
      <c r="C23" s="130"/>
      <c r="D23" s="49">
        <v>8</v>
      </c>
      <c r="E23" s="51">
        <f>E18-E22</f>
        <v>908.46</v>
      </c>
      <c r="F23" s="49" t="s">
        <v>0</v>
      </c>
      <c r="G23" s="46"/>
    </row>
    <row r="24" spans="2:15" ht="17" x14ac:dyDescent="0.2">
      <c r="B24" s="5"/>
      <c r="C24" s="5"/>
      <c r="E24" s="11"/>
      <c r="G24" s="87" t="s">
        <v>233</v>
      </c>
    </row>
    <row r="25" spans="2:15" x14ac:dyDescent="0.2">
      <c r="B25" t="s">
        <v>122</v>
      </c>
      <c r="D25" s="11">
        <f>E23/70</f>
        <v>12.978</v>
      </c>
      <c r="E25">
        <v>12</v>
      </c>
      <c r="F25" s="80">
        <f>E25*$D$23</f>
        <v>96</v>
      </c>
      <c r="G25" s="86">
        <f>F25+F29</f>
        <v>96</v>
      </c>
    </row>
    <row r="26" spans="2:15" x14ac:dyDescent="0.2">
      <c r="B26" t="s">
        <v>141</v>
      </c>
      <c r="D26" s="2"/>
      <c r="F26" s="80">
        <f>E26*$D$23</f>
        <v>0</v>
      </c>
      <c r="G26" s="86">
        <f>F26+F30</f>
        <v>0</v>
      </c>
    </row>
    <row r="27" spans="2:15" x14ac:dyDescent="0.2">
      <c r="B27" t="s">
        <v>125</v>
      </c>
      <c r="D27" s="2">
        <f>E23/60</f>
        <v>15.141</v>
      </c>
      <c r="E27">
        <v>1</v>
      </c>
      <c r="F27" s="80">
        <f>E27*$D$23</f>
        <v>8</v>
      </c>
      <c r="G27" s="86">
        <f>F27+F31</f>
        <v>8</v>
      </c>
    </row>
    <row r="29" spans="2:15" x14ac:dyDescent="0.2">
      <c r="B29" s="40" t="s">
        <v>123</v>
      </c>
      <c r="C29" s="40"/>
      <c r="D29" s="40"/>
      <c r="E29" s="56">
        <f>SUM(F25:F27)</f>
        <v>104</v>
      </c>
    </row>
    <row r="30" spans="2:15" x14ac:dyDescent="0.2">
      <c r="B30" t="s">
        <v>126</v>
      </c>
      <c r="E30" s="11">
        <f>E29*0.25</f>
        <v>26</v>
      </c>
    </row>
    <row r="31" spans="2:15" x14ac:dyDescent="0.2">
      <c r="F31" s="40"/>
      <c r="G31" s="40"/>
    </row>
    <row r="32" spans="2:15" x14ac:dyDescent="0.2">
      <c r="B32" s="16" t="s">
        <v>64</v>
      </c>
      <c r="C32" s="16"/>
      <c r="D32" s="16"/>
      <c r="E32" s="16"/>
      <c r="F32" s="40"/>
      <c r="G32" s="40"/>
      <c r="H32" s="40"/>
      <c r="I32" s="40"/>
      <c r="J32" s="40"/>
      <c r="K32" s="40"/>
      <c r="L32" s="40"/>
      <c r="M32" s="40"/>
      <c r="N32" s="40"/>
      <c r="O32" s="40"/>
    </row>
    <row r="33" spans="2:13" x14ac:dyDescent="0.2">
      <c r="B33" t="s">
        <v>28</v>
      </c>
      <c r="E33" s="62">
        <v>85806000</v>
      </c>
      <c r="F33" s="40"/>
      <c r="G33" s="40"/>
      <c r="H33" s="40"/>
    </row>
    <row r="34" spans="2:13" x14ac:dyDescent="0.2">
      <c r="B34" t="s">
        <v>107</v>
      </c>
      <c r="E34" s="62">
        <f>(E33-DATOS!L68)*DATOS!M68</f>
        <v>2952953.8493000004</v>
      </c>
      <c r="F34" s="40"/>
      <c r="G34" s="40"/>
    </row>
    <row r="35" spans="2:13" x14ac:dyDescent="0.2">
      <c r="B35" t="s">
        <v>65</v>
      </c>
      <c r="E35" s="62">
        <f>G53*DATOS!H31</f>
        <v>140975716.03200001</v>
      </c>
    </row>
    <row r="36" spans="2:13" x14ac:dyDescent="0.2">
      <c r="B36" t="s">
        <v>67</v>
      </c>
      <c r="E36" s="62">
        <f>E35*DATOS!B39</f>
        <v>11278057.28256</v>
      </c>
      <c r="G36" s="40"/>
    </row>
    <row r="37" spans="2:13" x14ac:dyDescent="0.2">
      <c r="B37" t="s">
        <v>86</v>
      </c>
      <c r="E37" s="62">
        <f>E35*DATOS!B49</f>
        <v>9868300.1222400013</v>
      </c>
    </row>
    <row r="38" spans="2:13" x14ac:dyDescent="0.2">
      <c r="B38" t="s">
        <v>68</v>
      </c>
      <c r="E38" s="62">
        <f>E35*DATOS!B83</f>
        <v>9163421.54208</v>
      </c>
      <c r="G38" s="139" t="s">
        <v>104</v>
      </c>
    </row>
    <row r="39" spans="2:13" x14ac:dyDescent="0.2">
      <c r="B39" t="s">
        <v>129</v>
      </c>
      <c r="E39" s="62">
        <f>E35*DATOS!B91</f>
        <v>21146357.404800002</v>
      </c>
      <c r="G39" s="139"/>
    </row>
    <row r="41" spans="2:13" x14ac:dyDescent="0.2">
      <c r="B41" s="54" t="s">
        <v>69</v>
      </c>
      <c r="C41" s="54"/>
      <c r="D41" s="54"/>
      <c r="E41" s="55">
        <f>SUM(E33:E39)</f>
        <v>281190806.23298001</v>
      </c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  <c r="M44" s="46"/>
    </row>
    <row r="45" spans="2:13" x14ac:dyDescent="0.2">
      <c r="B45" s="12" t="s">
        <v>49</v>
      </c>
      <c r="C45" s="12"/>
      <c r="D45" s="12"/>
      <c r="E45" s="44">
        <f>E30*13*1.3</f>
        <v>439.40000000000003</v>
      </c>
    </row>
    <row r="46" spans="2:13" x14ac:dyDescent="0.2">
      <c r="B46" s="12" t="s">
        <v>50</v>
      </c>
      <c r="C46" s="43">
        <f>($E$25*70)+($E$26*90)+($E$27*60)</f>
        <v>900</v>
      </c>
      <c r="D46" s="44">
        <f>$E$22</f>
        <v>100.94000000000001</v>
      </c>
      <c r="E46" s="12"/>
    </row>
    <row r="47" spans="2:13" x14ac:dyDescent="0.2">
      <c r="B47" s="12" t="s">
        <v>51</v>
      </c>
      <c r="C47" s="43">
        <f t="shared" ref="C47:C53" si="0">($E$25*70)+($E$26*90)+($E$27*60)</f>
        <v>900</v>
      </c>
      <c r="D47" s="44">
        <f t="shared" ref="D47:D53" si="1">$E$22</f>
        <v>100.94000000000001</v>
      </c>
      <c r="E47" s="12"/>
    </row>
    <row r="48" spans="2:13" x14ac:dyDescent="0.2">
      <c r="B48" s="12" t="s">
        <v>52</v>
      </c>
      <c r="C48" s="43">
        <f t="shared" si="0"/>
        <v>900</v>
      </c>
      <c r="D48" s="44">
        <f t="shared" si="1"/>
        <v>100.94000000000001</v>
      </c>
      <c r="E48" s="12"/>
      <c r="I48" s="6"/>
      <c r="J48" s="6"/>
      <c r="K48" s="108"/>
    </row>
    <row r="49" spans="2:11" x14ac:dyDescent="0.2">
      <c r="B49" s="12" t="s">
        <v>53</v>
      </c>
      <c r="C49" s="43">
        <f t="shared" si="0"/>
        <v>900</v>
      </c>
      <c r="D49" s="44">
        <f t="shared" si="1"/>
        <v>100.94000000000001</v>
      </c>
      <c r="E49" s="12"/>
      <c r="I49" s="6"/>
      <c r="J49" s="6"/>
      <c r="K49" s="108"/>
    </row>
    <row r="50" spans="2:11" x14ac:dyDescent="0.2">
      <c r="B50" s="12" t="s">
        <v>54</v>
      </c>
      <c r="C50" s="43">
        <f t="shared" si="0"/>
        <v>900</v>
      </c>
      <c r="D50" s="44">
        <f t="shared" si="1"/>
        <v>100.94000000000001</v>
      </c>
      <c r="E50" s="12"/>
      <c r="I50" s="6"/>
      <c r="J50" s="6"/>
      <c r="K50" s="108"/>
    </row>
    <row r="51" spans="2:11" x14ac:dyDescent="0.2">
      <c r="B51" s="12" t="s">
        <v>55</v>
      </c>
      <c r="C51" s="43">
        <f t="shared" si="0"/>
        <v>900</v>
      </c>
      <c r="D51" s="44">
        <f t="shared" si="1"/>
        <v>100.94000000000001</v>
      </c>
      <c r="E51" s="12"/>
      <c r="I51" s="6"/>
      <c r="J51" s="6"/>
      <c r="K51" s="108"/>
    </row>
    <row r="52" spans="2:11" x14ac:dyDescent="0.2">
      <c r="B52" s="12" t="s">
        <v>56</v>
      </c>
      <c r="C52" s="43">
        <f t="shared" si="0"/>
        <v>900</v>
      </c>
      <c r="D52" s="44">
        <f t="shared" si="1"/>
        <v>100.94000000000001</v>
      </c>
      <c r="E52" s="12"/>
      <c r="G52" s="91" t="s">
        <v>239</v>
      </c>
      <c r="I52" s="6"/>
      <c r="J52" s="6"/>
      <c r="K52" s="108"/>
    </row>
    <row r="53" spans="2:11" x14ac:dyDescent="0.2">
      <c r="B53" s="12" t="s">
        <v>57</v>
      </c>
      <c r="C53" s="43">
        <f t="shared" si="0"/>
        <v>900</v>
      </c>
      <c r="D53" s="44">
        <f t="shared" si="1"/>
        <v>100.94000000000001</v>
      </c>
      <c r="E53" s="12"/>
      <c r="G53" s="90">
        <f>C56+D56+E56</f>
        <v>8446.92</v>
      </c>
      <c r="I53" s="6"/>
      <c r="J53" s="6"/>
      <c r="K53" s="108"/>
    </row>
    <row r="54" spans="2:11" x14ac:dyDescent="0.2">
      <c r="B54" s="12" t="s">
        <v>58</v>
      </c>
      <c r="C54" s="43"/>
      <c r="D54" s="44"/>
      <c r="E54" s="12"/>
      <c r="I54" s="6"/>
      <c r="J54" s="6"/>
      <c r="K54" s="108"/>
    </row>
    <row r="55" spans="2:11" x14ac:dyDescent="0.2">
      <c r="B55" s="14" t="s">
        <v>59</v>
      </c>
      <c r="C55" s="43"/>
      <c r="D55" s="44"/>
      <c r="E55" s="14"/>
      <c r="G55" s="76" t="s">
        <v>62</v>
      </c>
      <c r="I55" s="6"/>
      <c r="J55" s="6"/>
      <c r="K55" s="108"/>
    </row>
    <row r="56" spans="2:11" x14ac:dyDescent="0.2">
      <c r="B56" s="12" t="s">
        <v>25</v>
      </c>
      <c r="C56" s="63">
        <f>SUM(C45:C55)</f>
        <v>7200</v>
      </c>
      <c r="D56" s="63">
        <f t="shared" ref="D56:E56" si="2">SUM(D45:D55)</f>
        <v>807.52000000000021</v>
      </c>
      <c r="E56" s="64">
        <f t="shared" si="2"/>
        <v>439.40000000000003</v>
      </c>
      <c r="G56" s="76">
        <f>SUM(C56:D56)</f>
        <v>8007.52</v>
      </c>
      <c r="I56" s="6"/>
      <c r="J56" s="6"/>
      <c r="K56" s="108"/>
    </row>
    <row r="57" spans="2:11" x14ac:dyDescent="0.2">
      <c r="I57" s="6"/>
      <c r="J57" s="6"/>
      <c r="K57" s="108"/>
    </row>
    <row r="58" spans="2:11" x14ac:dyDescent="0.2">
      <c r="B58" s="16" t="s">
        <v>70</v>
      </c>
      <c r="C58" s="16"/>
      <c r="D58" s="16"/>
      <c r="E58" s="16"/>
    </row>
    <row r="60" spans="2:11" x14ac:dyDescent="0.2">
      <c r="B60" t="s">
        <v>108</v>
      </c>
      <c r="E60" s="58">
        <f>E41/C56</f>
        <v>39054.278643469443</v>
      </c>
    </row>
    <row r="61" spans="2:11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11" x14ac:dyDescent="0.2">
      <c r="B62" s="40" t="s">
        <v>128</v>
      </c>
      <c r="C62" s="40"/>
      <c r="D62" s="66">
        <v>1</v>
      </c>
      <c r="E62" s="53">
        <f>$E$60*70*D62</f>
        <v>2733799.5050428612</v>
      </c>
      <c r="G62" s="77">
        <v>1020000</v>
      </c>
    </row>
    <row r="63" spans="2:11" x14ac:dyDescent="0.2">
      <c r="B63" s="40" t="s">
        <v>110</v>
      </c>
      <c r="C63" s="40"/>
      <c r="D63" s="65">
        <v>1</v>
      </c>
      <c r="E63" s="53">
        <f t="shared" ref="E63" si="3">$E$60*90*D63</f>
        <v>3514885.0779122496</v>
      </c>
      <c r="G63" s="77">
        <v>2040000</v>
      </c>
    </row>
  </sheetData>
  <mergeCells count="4">
    <mergeCell ref="G38:G39"/>
    <mergeCell ref="G5:G6"/>
    <mergeCell ref="B18:C18"/>
    <mergeCell ref="B23:C23"/>
  </mergeCells>
  <pageMargins left="0.7" right="0.7" top="0.75" bottom="0.75" header="0.3" footer="0.3"/>
  <pageSetup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58092-5397-49BF-A4F8-3A14E099EC58}">
  <sheetPr>
    <tabColor theme="7" tint="0.59999389629810485"/>
  </sheetPr>
  <dimension ref="A1:N67"/>
  <sheetViews>
    <sheetView showGridLines="0" zoomScale="60" zoomScaleNormal="60" workbookViewId="0">
      <selection activeCell="T44" sqref="T44"/>
    </sheetView>
  </sheetViews>
  <sheetFormatPr baseColWidth="10" defaultRowHeight="16" x14ac:dyDescent="0.2"/>
  <cols>
    <col min="1" max="1" width="7.1640625" customWidth="1"/>
    <col min="2" max="2" width="30.33203125" customWidth="1"/>
    <col min="3" max="3" width="22.1640625" customWidth="1"/>
    <col min="4" max="4" width="8.83203125" customWidth="1"/>
    <col min="5" max="5" width="25.5" customWidth="1"/>
    <col min="7" max="7" width="38.6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5.33203125" customWidth="1"/>
    <col min="14" max="14" width="18.83203125" customWidth="1"/>
  </cols>
  <sheetData>
    <row r="1" spans="1:7" x14ac:dyDescent="0.2">
      <c r="A1" s="40" t="s">
        <v>28</v>
      </c>
      <c r="B1" s="101" t="s">
        <v>247</v>
      </c>
      <c r="C1" s="101"/>
      <c r="D1" s="102" t="s">
        <v>92</v>
      </c>
      <c r="E1" s="47"/>
      <c r="F1" s="47"/>
      <c r="G1" s="47"/>
    </row>
    <row r="2" spans="1:7" x14ac:dyDescent="0.2">
      <c r="B2" s="40" t="s">
        <v>200</v>
      </c>
      <c r="C2" s="40"/>
      <c r="D2" s="42" t="s">
        <v>245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1158.68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203</v>
      </c>
    </row>
    <row r="11" spans="1:7" x14ac:dyDescent="0.2">
      <c r="B11" t="s">
        <v>116</v>
      </c>
      <c r="E11" s="2" t="s">
        <v>201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97</v>
      </c>
    </row>
    <row r="18" spans="1:8" ht="34" x14ac:dyDescent="0.2">
      <c r="B18" s="5" t="s">
        <v>119</v>
      </c>
      <c r="C18" s="5"/>
      <c r="E18" s="11">
        <f>E5*E6</f>
        <v>926.94400000000007</v>
      </c>
      <c r="F18" t="s">
        <v>0</v>
      </c>
      <c r="G18" s="46"/>
    </row>
    <row r="19" spans="1:8" x14ac:dyDescent="0.2">
      <c r="B19" t="s">
        <v>94</v>
      </c>
      <c r="E19" s="82">
        <f>E5*(E7+E8)</f>
        <v>4634.72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G21" s="46"/>
      <c r="H21" t="s">
        <v>106</v>
      </c>
    </row>
    <row r="22" spans="1:8" ht="34" customHeight="1" x14ac:dyDescent="0.2">
      <c r="B22" s="136" t="s">
        <v>102</v>
      </c>
      <c r="C22" s="136"/>
      <c r="E22" s="11">
        <f>E18-(5*20)</f>
        <v>826.94400000000007</v>
      </c>
      <c r="F22" t="s">
        <v>0</v>
      </c>
    </row>
    <row r="24" spans="1:8" x14ac:dyDescent="0.2">
      <c r="B24" t="s">
        <v>248</v>
      </c>
      <c r="D24" s="4">
        <v>0.1</v>
      </c>
      <c r="E24" s="11">
        <f>E18*0.1</f>
        <v>92.694400000000016</v>
      </c>
      <c r="F24" t="s">
        <v>0</v>
      </c>
      <c r="G24" s="5"/>
    </row>
    <row r="25" spans="1:8" ht="31.5" customHeight="1" x14ac:dyDescent="0.2">
      <c r="B25" s="130" t="s">
        <v>189</v>
      </c>
      <c r="C25" s="130"/>
      <c r="D25" s="49">
        <v>3</v>
      </c>
      <c r="E25" s="51">
        <f>E18-E24</f>
        <v>834.2496000000001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11.91785142857143</v>
      </c>
      <c r="E26">
        <v>11</v>
      </c>
      <c r="F26" s="80">
        <f>$D$25*E26</f>
        <v>33</v>
      </c>
      <c r="G26" s="86">
        <f>F26+F30</f>
        <v>53</v>
      </c>
    </row>
    <row r="27" spans="1:8" x14ac:dyDescent="0.2">
      <c r="A27" s="137"/>
      <c r="B27" t="s">
        <v>124</v>
      </c>
      <c r="D27" s="11">
        <f>E25/90</f>
        <v>9.2694400000000012</v>
      </c>
      <c r="E27" s="2"/>
      <c r="F27" s="80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13.904160000000001</v>
      </c>
      <c r="E28" s="2">
        <v>1</v>
      </c>
      <c r="F28" s="80">
        <f>$D$25*E28</f>
        <v>3</v>
      </c>
      <c r="G28" s="86">
        <f>F28+F32</f>
        <v>3</v>
      </c>
    </row>
    <row r="29" spans="1:8" ht="37.5" customHeight="1" x14ac:dyDescent="0.2">
      <c r="A29" s="137"/>
      <c r="B29" s="140" t="s">
        <v>202</v>
      </c>
      <c r="C29" s="140"/>
      <c r="D29" s="72">
        <v>2</v>
      </c>
      <c r="E29" s="73">
        <f>E22-E24</f>
        <v>734.2496000000001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10.489280000000001</v>
      </c>
      <c r="E30">
        <v>10</v>
      </c>
      <c r="F30" s="80">
        <f>$D$29*E30</f>
        <v>20</v>
      </c>
    </row>
    <row r="31" spans="1:8" x14ac:dyDescent="0.2">
      <c r="B31" t="s">
        <v>124</v>
      </c>
      <c r="D31">
        <f>E29/90</f>
        <v>8.1583288888888905</v>
      </c>
      <c r="F31" s="80">
        <f>$D$29*E31</f>
        <v>0</v>
      </c>
    </row>
    <row r="32" spans="1:8" x14ac:dyDescent="0.2">
      <c r="B32" t="s">
        <v>125</v>
      </c>
      <c r="D32">
        <f>E29/60</f>
        <v>12.237493333333335</v>
      </c>
      <c r="F32" s="80">
        <f>$D$29*E32</f>
        <v>0</v>
      </c>
    </row>
    <row r="33" spans="2:14" x14ac:dyDescent="0.2">
      <c r="B33" s="40" t="s">
        <v>123</v>
      </c>
      <c r="C33" s="40"/>
      <c r="D33" s="40"/>
      <c r="E33" s="56">
        <f>SUM(G26:G28)</f>
        <v>56</v>
      </c>
      <c r="F33" s="2"/>
    </row>
    <row r="34" spans="2:14" x14ac:dyDescent="0.2">
      <c r="B34" t="s">
        <v>126</v>
      </c>
      <c r="E34" s="11">
        <f>E33*0.25</f>
        <v>14</v>
      </c>
    </row>
    <row r="36" spans="2:14" x14ac:dyDescent="0.2">
      <c r="B36" s="16" t="s">
        <v>64</v>
      </c>
      <c r="C36" s="16"/>
      <c r="D36" s="16"/>
      <c r="E36" s="16"/>
      <c r="F36" s="40"/>
      <c r="G36" s="139" t="s">
        <v>104</v>
      </c>
      <c r="H36" s="40"/>
      <c r="I36" s="40"/>
      <c r="J36" s="40"/>
      <c r="K36" s="40"/>
      <c r="L36" s="40"/>
      <c r="M36" s="40"/>
      <c r="N36" s="40"/>
    </row>
    <row r="37" spans="2:14" x14ac:dyDescent="0.2">
      <c r="B37" t="s">
        <v>28</v>
      </c>
      <c r="E37" s="62">
        <v>14000000</v>
      </c>
      <c r="F37" s="40"/>
      <c r="G37" s="139"/>
      <c r="H37" s="40"/>
    </row>
    <row r="38" spans="2:14" x14ac:dyDescent="0.2">
      <c r="B38" t="s">
        <v>107</v>
      </c>
      <c r="E38" s="8">
        <f>(E37-DATOS!L67)*DATOS!M67</f>
        <v>465464.14188000007</v>
      </c>
      <c r="F38" s="40"/>
      <c r="G38" s="40"/>
    </row>
    <row r="39" spans="2:14" x14ac:dyDescent="0.2">
      <c r="B39" t="s">
        <v>65</v>
      </c>
      <c r="E39" s="8">
        <f>G57*DATOS!H31</f>
        <v>76606465.651200011</v>
      </c>
    </row>
    <row r="40" spans="2:14" x14ac:dyDescent="0.2">
      <c r="B40" t="s">
        <v>67</v>
      </c>
      <c r="E40" s="8">
        <f>E39*DATOS!B39</f>
        <v>6128517.2520960011</v>
      </c>
      <c r="G40" s="40"/>
    </row>
    <row r="41" spans="2:14" x14ac:dyDescent="0.2">
      <c r="B41" t="s">
        <v>86</v>
      </c>
      <c r="E41" s="8">
        <f>E39*DATOS!B49</f>
        <v>5362452.5955840014</v>
      </c>
    </row>
    <row r="42" spans="2:14" x14ac:dyDescent="0.2">
      <c r="B42" t="s">
        <v>68</v>
      </c>
      <c r="E42" s="8">
        <f>E39*DATOS!B83</f>
        <v>4979420.2673280006</v>
      </c>
      <c r="G42" s="46"/>
    </row>
    <row r="43" spans="2:14" x14ac:dyDescent="0.2">
      <c r="B43" t="s">
        <v>129</v>
      </c>
      <c r="E43" s="8">
        <f>E39*DATOS!B91</f>
        <v>11490969.847680001</v>
      </c>
    </row>
    <row r="45" spans="2:14" x14ac:dyDescent="0.2">
      <c r="B45" s="54" t="s">
        <v>69</v>
      </c>
      <c r="C45" s="54"/>
      <c r="D45" s="54"/>
      <c r="E45" s="55">
        <f>SUM(E37:E43)</f>
        <v>119033289.75576802</v>
      </c>
      <c r="J45" s="117"/>
    </row>
    <row r="47" spans="2:14" x14ac:dyDescent="0.2">
      <c r="B47" s="40"/>
      <c r="C47" s="40" t="s">
        <v>120</v>
      </c>
    </row>
    <row r="48" spans="2:14" ht="85" x14ac:dyDescent="0.2">
      <c r="B48" s="12"/>
      <c r="C48" s="13" t="s">
        <v>46</v>
      </c>
      <c r="D48" s="13" t="s">
        <v>47</v>
      </c>
      <c r="E48" s="13" t="s">
        <v>48</v>
      </c>
    </row>
    <row r="49" spans="2:7" x14ac:dyDescent="0.2">
      <c r="B49" s="12" t="s">
        <v>49</v>
      </c>
      <c r="C49" s="12"/>
      <c r="D49" s="12"/>
      <c r="E49" s="44">
        <f>E34*13*1.3</f>
        <v>236.6</v>
      </c>
    </row>
    <row r="50" spans="2:7" x14ac:dyDescent="0.2">
      <c r="B50" s="12" t="s">
        <v>50</v>
      </c>
      <c r="C50" s="43">
        <f>($E$28*60)+($E$26*70)+($E$27*90)</f>
        <v>830</v>
      </c>
      <c r="D50" s="44">
        <f>$E$24</f>
        <v>92.694400000000016</v>
      </c>
      <c r="E50" s="12"/>
    </row>
    <row r="51" spans="2:7" x14ac:dyDescent="0.2">
      <c r="B51" s="12" t="s">
        <v>51</v>
      </c>
      <c r="C51" s="43">
        <f t="shared" ref="C51:C52" si="0">($E$28*60)+($E$26*70)+($E$27*90)</f>
        <v>830</v>
      </c>
      <c r="D51" s="44">
        <f>$E$24</f>
        <v>92.694400000000016</v>
      </c>
      <c r="E51" s="12"/>
    </row>
    <row r="52" spans="2:7" x14ac:dyDescent="0.2">
      <c r="B52" s="12" t="s">
        <v>52</v>
      </c>
      <c r="C52" s="43">
        <f t="shared" si="0"/>
        <v>830</v>
      </c>
      <c r="D52" s="44">
        <f>$E$24</f>
        <v>92.694400000000016</v>
      </c>
      <c r="E52" s="12"/>
    </row>
    <row r="53" spans="2:7" x14ac:dyDescent="0.2">
      <c r="B53" s="12" t="s">
        <v>53</v>
      </c>
      <c r="C53" s="43">
        <f>($E$30*70)+($E$31*90)+($E$32*60)</f>
        <v>700</v>
      </c>
      <c r="D53" s="44">
        <f>$E$24</f>
        <v>92.694400000000016</v>
      </c>
      <c r="E53" s="12"/>
    </row>
    <row r="54" spans="2:7" x14ac:dyDescent="0.2">
      <c r="B54" s="12" t="s">
        <v>54</v>
      </c>
      <c r="C54" s="43">
        <f>($E$30*70)+($E$31*90)+($E$32*60)</f>
        <v>700</v>
      </c>
      <c r="D54" s="44">
        <f t="shared" ref="D54" si="1">$E$24</f>
        <v>92.694400000000016</v>
      </c>
      <c r="E54" s="12"/>
    </row>
    <row r="55" spans="2:7" x14ac:dyDescent="0.2">
      <c r="B55" s="12" t="s">
        <v>55</v>
      </c>
      <c r="C55" s="43"/>
      <c r="D55" s="44"/>
      <c r="E55" s="12"/>
    </row>
    <row r="56" spans="2:7" x14ac:dyDescent="0.2">
      <c r="B56" s="12" t="s">
        <v>56</v>
      </c>
      <c r="C56" s="43"/>
      <c r="D56" s="44"/>
      <c r="E56" s="12"/>
      <c r="G56" s="91" t="s">
        <v>239</v>
      </c>
    </row>
    <row r="57" spans="2:7" x14ac:dyDescent="0.2">
      <c r="B57" s="12" t="s">
        <v>57</v>
      </c>
      <c r="C57" s="43"/>
      <c r="D57" s="44"/>
      <c r="E57" s="12"/>
      <c r="G57" s="90">
        <f>C60+D60+E60</f>
        <v>4590.0720000000001</v>
      </c>
    </row>
    <row r="58" spans="2:7" x14ac:dyDescent="0.2">
      <c r="B58" s="12" t="s">
        <v>58</v>
      </c>
      <c r="C58" s="43"/>
      <c r="D58" s="44"/>
      <c r="E58" s="12"/>
    </row>
    <row r="59" spans="2:7" x14ac:dyDescent="0.2">
      <c r="B59" s="14" t="s">
        <v>59</v>
      </c>
      <c r="C59" s="43"/>
      <c r="D59" s="44"/>
      <c r="E59" s="14"/>
      <c r="G59" s="83" t="s">
        <v>62</v>
      </c>
    </row>
    <row r="60" spans="2:7" x14ac:dyDescent="0.2">
      <c r="B60" s="12" t="s">
        <v>25</v>
      </c>
      <c r="C60" s="63">
        <f>SUM(C49:C59)</f>
        <v>3890</v>
      </c>
      <c r="D60" s="63">
        <f t="shared" ref="D60:E60" si="2">SUM(D49:D59)</f>
        <v>463.47200000000009</v>
      </c>
      <c r="E60" s="64">
        <f t="shared" si="2"/>
        <v>236.6</v>
      </c>
      <c r="G60" s="83">
        <f>SUM(C60:D60)</f>
        <v>4353.4719999999998</v>
      </c>
    </row>
    <row r="62" spans="2:7" x14ac:dyDescent="0.2">
      <c r="B62" s="16" t="s">
        <v>70</v>
      </c>
      <c r="C62" s="16"/>
      <c r="D62" s="16"/>
      <c r="E62" s="16"/>
    </row>
    <row r="64" spans="2:7" x14ac:dyDescent="0.2">
      <c r="B64" t="s">
        <v>108</v>
      </c>
      <c r="E64" s="58">
        <f>E45/C60</f>
        <v>30599.817417935221</v>
      </c>
    </row>
    <row r="65" spans="2:7" x14ac:dyDescent="0.2">
      <c r="B65" s="40" t="s">
        <v>127</v>
      </c>
      <c r="C65" s="40"/>
      <c r="D65" s="40"/>
      <c r="E65" s="53">
        <f>E64*90*D65</f>
        <v>0</v>
      </c>
      <c r="G65" s="3" t="s">
        <v>223</v>
      </c>
    </row>
    <row r="66" spans="2:7" x14ac:dyDescent="0.2">
      <c r="B66" s="40" t="s">
        <v>128</v>
      </c>
      <c r="C66" s="40"/>
      <c r="D66" s="52">
        <v>1</v>
      </c>
      <c r="E66" s="53">
        <f>E64*70*D66</f>
        <v>2141987.2192554655</v>
      </c>
      <c r="G66" s="77">
        <v>1020000</v>
      </c>
    </row>
    <row r="67" spans="2:7" x14ac:dyDescent="0.2">
      <c r="B67" s="40" t="s">
        <v>110</v>
      </c>
      <c r="C67" s="40"/>
      <c r="D67" s="74">
        <v>1</v>
      </c>
      <c r="E67" s="89">
        <f>E64*60*D67</f>
        <v>1835989.0450761132</v>
      </c>
      <c r="G67" s="77">
        <v>2040000</v>
      </c>
    </row>
  </sheetData>
  <mergeCells count="6">
    <mergeCell ref="G5:G6"/>
    <mergeCell ref="G36:G37"/>
    <mergeCell ref="A27:A30"/>
    <mergeCell ref="B29:C29"/>
    <mergeCell ref="B25:C25"/>
    <mergeCell ref="B22:C22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42896-D1D9-4E88-B028-C738411DAD55}">
  <sheetPr>
    <tabColor theme="0" tint="-0.499984740745262"/>
  </sheetPr>
  <dimension ref="A1:N65"/>
  <sheetViews>
    <sheetView showGridLines="0" topLeftCell="A35" zoomScale="70" zoomScaleNormal="80" workbookViewId="0">
      <selection activeCell="K50" sqref="K50"/>
    </sheetView>
  </sheetViews>
  <sheetFormatPr baseColWidth="10" defaultRowHeight="16" x14ac:dyDescent="0.2"/>
  <cols>
    <col min="1" max="1" width="7.1640625" customWidth="1"/>
    <col min="2" max="2" width="22.6640625" customWidth="1"/>
    <col min="3" max="3" width="20.6640625" customWidth="1"/>
    <col min="4" max="4" width="8.83203125" customWidth="1"/>
    <col min="5" max="5" width="22.6640625" customWidth="1"/>
    <col min="6" max="6" width="7.33203125" customWidth="1"/>
    <col min="7" max="7" width="28.6640625" customWidth="1"/>
    <col min="8" max="8" width="35.66406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.33203125" customWidth="1"/>
    <col min="14" max="14" width="18.83203125" customWidth="1"/>
  </cols>
  <sheetData>
    <row r="1" spans="1:13" x14ac:dyDescent="0.2">
      <c r="A1" s="40" t="s">
        <v>28</v>
      </c>
      <c r="B1" s="101" t="s">
        <v>249</v>
      </c>
      <c r="C1" s="101"/>
      <c r="D1" s="102" t="s">
        <v>92</v>
      </c>
      <c r="E1" s="47"/>
      <c r="F1" s="47"/>
      <c r="G1" s="47"/>
    </row>
    <row r="2" spans="1:13" x14ac:dyDescent="0.2">
      <c r="B2" s="40" t="s">
        <v>215</v>
      </c>
      <c r="C2" s="40"/>
      <c r="D2" s="42" t="s">
        <v>250</v>
      </c>
    </row>
    <row r="4" spans="1:13" x14ac:dyDescent="0.2">
      <c r="B4" s="16" t="s">
        <v>63</v>
      </c>
      <c r="C4" s="16"/>
      <c r="D4" s="16"/>
      <c r="E4" s="16"/>
      <c r="F4" s="16"/>
      <c r="G4" s="16"/>
    </row>
    <row r="6" spans="1:13" ht="40" customHeight="1" x14ac:dyDescent="0.2">
      <c r="G6" s="40"/>
      <c r="H6" s="136"/>
      <c r="I6" s="136"/>
      <c r="J6" s="136"/>
      <c r="K6" s="136"/>
      <c r="L6" s="136"/>
      <c r="M6" s="136"/>
    </row>
    <row r="7" spans="1:13" x14ac:dyDescent="0.2">
      <c r="B7" t="s">
        <v>111</v>
      </c>
      <c r="E7" s="2">
        <v>124</v>
      </c>
      <c r="F7" t="s">
        <v>0</v>
      </c>
      <c r="G7" s="139" t="s">
        <v>60</v>
      </c>
    </row>
    <row r="8" spans="1:13" x14ac:dyDescent="0.2">
      <c r="B8" t="s">
        <v>30</v>
      </c>
      <c r="E8" s="2">
        <v>0.8</v>
      </c>
      <c r="G8" s="139"/>
    </row>
    <row r="9" spans="1:13" x14ac:dyDescent="0.2">
      <c r="B9" t="s">
        <v>31</v>
      </c>
      <c r="E9" s="2">
        <v>4.8</v>
      </c>
    </row>
    <row r="10" spans="1:13" x14ac:dyDescent="0.2">
      <c r="B10" t="s">
        <v>93</v>
      </c>
      <c r="E10" s="2">
        <v>1.6</v>
      </c>
    </row>
    <row r="11" spans="1:13" x14ac:dyDescent="0.2">
      <c r="B11" t="s">
        <v>33</v>
      </c>
      <c r="E11" s="2" t="s">
        <v>113</v>
      </c>
      <c r="F11" t="s">
        <v>34</v>
      </c>
    </row>
    <row r="12" spans="1:13" x14ac:dyDescent="0.2">
      <c r="B12" t="s">
        <v>95</v>
      </c>
      <c r="E12" s="2" t="s">
        <v>146</v>
      </c>
    </row>
    <row r="13" spans="1:13" x14ac:dyDescent="0.2">
      <c r="B13" t="s">
        <v>116</v>
      </c>
      <c r="E13" s="2" t="s">
        <v>216</v>
      </c>
      <c r="F13" t="s">
        <v>34</v>
      </c>
      <c r="G13" s="46"/>
    </row>
    <row r="14" spans="1:13" ht="51" x14ac:dyDescent="0.2">
      <c r="B14" t="s">
        <v>35</v>
      </c>
      <c r="E14" s="45" t="s">
        <v>117</v>
      </c>
      <c r="G14" s="46"/>
    </row>
    <row r="15" spans="1:13" x14ac:dyDescent="0.2">
      <c r="B15" t="s">
        <v>36</v>
      </c>
      <c r="E15">
        <v>0</v>
      </c>
      <c r="F15" t="s">
        <v>34</v>
      </c>
    </row>
    <row r="16" spans="1:13" x14ac:dyDescent="0.2">
      <c r="B16" t="s">
        <v>37</v>
      </c>
      <c r="E16">
        <v>0</v>
      </c>
      <c r="F16" t="s">
        <v>34</v>
      </c>
    </row>
    <row r="17" spans="2:8" x14ac:dyDescent="0.2">
      <c r="B17" t="s">
        <v>38</v>
      </c>
      <c r="E17">
        <v>3</v>
      </c>
      <c r="F17" t="s">
        <v>34</v>
      </c>
    </row>
    <row r="18" spans="2:8" x14ac:dyDescent="0.2">
      <c r="B18" t="s">
        <v>96</v>
      </c>
      <c r="E18" s="2" t="s">
        <v>118</v>
      </c>
    </row>
    <row r="20" spans="2:8" ht="32.25" customHeight="1" x14ac:dyDescent="0.2">
      <c r="B20" s="131" t="s">
        <v>119</v>
      </c>
      <c r="C20" s="131"/>
      <c r="E20" s="11">
        <f>E7*E8</f>
        <v>99.2</v>
      </c>
      <c r="F20" t="s">
        <v>0</v>
      </c>
      <c r="G20" s="46"/>
    </row>
    <row r="21" spans="2:8" x14ac:dyDescent="0.2">
      <c r="B21" t="s">
        <v>94</v>
      </c>
      <c r="E21" s="82">
        <f>E7*(E9+E10)</f>
        <v>793.6</v>
      </c>
      <c r="F21" t="s">
        <v>0</v>
      </c>
    </row>
    <row r="22" spans="2:8" x14ac:dyDescent="0.2">
      <c r="B22" t="s">
        <v>39</v>
      </c>
      <c r="D22" s="11">
        <f>E21/E20</f>
        <v>8</v>
      </c>
      <c r="E22" s="11">
        <f>D22</f>
        <v>8</v>
      </c>
      <c r="F22" t="s">
        <v>40</v>
      </c>
      <c r="G22" s="46"/>
    </row>
    <row r="23" spans="2:8" x14ac:dyDescent="0.2">
      <c r="B23" t="s">
        <v>101</v>
      </c>
      <c r="E23">
        <f>E22*3</f>
        <v>24</v>
      </c>
      <c r="F23" t="s">
        <v>34</v>
      </c>
      <c r="G23" s="46"/>
      <c r="H23" t="s">
        <v>106</v>
      </c>
    </row>
    <row r="24" spans="2:8" x14ac:dyDescent="0.2">
      <c r="B24" t="s">
        <v>61</v>
      </c>
      <c r="D24" s="4">
        <v>0.1</v>
      </c>
      <c r="E24" s="11">
        <f>E20*0.1</f>
        <v>9.9200000000000017</v>
      </c>
      <c r="F24" t="s">
        <v>0</v>
      </c>
      <c r="G24" s="59"/>
    </row>
    <row r="25" spans="2:8" ht="40.5" customHeight="1" x14ac:dyDescent="0.2">
      <c r="B25" s="130" t="s">
        <v>121</v>
      </c>
      <c r="C25" s="130"/>
      <c r="D25" s="49">
        <v>8</v>
      </c>
      <c r="E25" s="51">
        <f>E20-E24</f>
        <v>89.28</v>
      </c>
      <c r="F25" s="49" t="s">
        <v>0</v>
      </c>
      <c r="G25" s="46"/>
    </row>
    <row r="26" spans="2:8" ht="17" x14ac:dyDescent="0.2">
      <c r="B26" s="5"/>
      <c r="C26" s="5"/>
      <c r="E26" s="11"/>
      <c r="G26" s="87" t="s">
        <v>233</v>
      </c>
    </row>
    <row r="27" spans="2:8" x14ac:dyDescent="0.2">
      <c r="B27" t="s">
        <v>122</v>
      </c>
      <c r="D27" s="11">
        <f>E25/70</f>
        <v>1.2754285714285714</v>
      </c>
      <c r="E27">
        <v>1</v>
      </c>
      <c r="F27" s="80">
        <f>E27*$D$25</f>
        <v>8</v>
      </c>
      <c r="G27" s="86">
        <f>F27+F31</f>
        <v>8</v>
      </c>
    </row>
    <row r="28" spans="2:8" x14ac:dyDescent="0.2">
      <c r="B28" t="s">
        <v>141</v>
      </c>
      <c r="D28" s="2"/>
      <c r="F28" s="80">
        <f>E28*$D$25</f>
        <v>0</v>
      </c>
      <c r="G28" s="86">
        <f>F28+F32</f>
        <v>0</v>
      </c>
    </row>
    <row r="29" spans="2:8" x14ac:dyDescent="0.2">
      <c r="B29" t="s">
        <v>125</v>
      </c>
      <c r="D29" s="2">
        <f>E25/60</f>
        <v>1.488</v>
      </c>
      <c r="F29" s="80">
        <f>E29*$D$25</f>
        <v>0</v>
      </c>
      <c r="G29" s="86">
        <f>F29+F33</f>
        <v>0</v>
      </c>
    </row>
    <row r="31" spans="2:8" x14ac:dyDescent="0.2">
      <c r="B31" s="40" t="s">
        <v>123</v>
      </c>
      <c r="C31" s="40"/>
      <c r="D31" s="40"/>
      <c r="E31" s="56">
        <f>SUM(F27:F29)</f>
        <v>8</v>
      </c>
    </row>
    <row r="32" spans="2:8" x14ac:dyDescent="0.2">
      <c r="B32" t="s">
        <v>126</v>
      </c>
      <c r="E32" s="11">
        <f>E31*0.25</f>
        <v>2</v>
      </c>
    </row>
    <row r="33" spans="2:14" x14ac:dyDescent="0.2">
      <c r="F33" s="40"/>
      <c r="G33" s="139" t="s">
        <v>104</v>
      </c>
    </row>
    <row r="34" spans="2:14" x14ac:dyDescent="0.2">
      <c r="B34" s="16" t="s">
        <v>64</v>
      </c>
      <c r="C34" s="16"/>
      <c r="D34" s="16"/>
      <c r="E34" s="16"/>
      <c r="F34" s="40"/>
      <c r="G34" s="139"/>
      <c r="H34" s="40"/>
      <c r="I34" s="40"/>
      <c r="J34" s="40"/>
      <c r="K34" s="40"/>
      <c r="L34" s="40"/>
      <c r="M34" s="40"/>
      <c r="N34" s="40"/>
    </row>
    <row r="35" spans="2:14" x14ac:dyDescent="0.2">
      <c r="B35" t="s">
        <v>28</v>
      </c>
      <c r="E35" s="62">
        <v>2950000</v>
      </c>
      <c r="F35" s="40"/>
      <c r="G35" s="40"/>
      <c r="H35" s="40"/>
    </row>
    <row r="36" spans="2:14" x14ac:dyDescent="0.2">
      <c r="B36" t="s">
        <v>107</v>
      </c>
      <c r="E36" s="8">
        <f>(E35-DATOS!L64)*DATOS!M64</f>
        <v>89574.395220000006</v>
      </c>
      <c r="F36" s="40"/>
      <c r="G36" s="40"/>
    </row>
    <row r="37" spans="2:14" x14ac:dyDescent="0.2">
      <c r="B37" t="s">
        <v>65</v>
      </c>
      <c r="E37" s="8">
        <f>G55*DATOS!H31</f>
        <v>11234771.136000002</v>
      </c>
    </row>
    <row r="38" spans="2:14" x14ac:dyDescent="0.2">
      <c r="B38" t="s">
        <v>67</v>
      </c>
      <c r="E38" s="8">
        <f>E37*DATOS!B39</f>
        <v>898781.69088000013</v>
      </c>
      <c r="G38" s="40"/>
    </row>
    <row r="39" spans="2:14" x14ac:dyDescent="0.2">
      <c r="B39" t="s">
        <v>86</v>
      </c>
      <c r="E39" s="8">
        <f>E37*DATOS!B49</f>
        <v>786433.97952000017</v>
      </c>
    </row>
    <row r="40" spans="2:14" x14ac:dyDescent="0.2">
      <c r="B40" t="s">
        <v>68</v>
      </c>
      <c r="E40" s="8">
        <f>E37*DATOS!B83</f>
        <v>730260.12384000013</v>
      </c>
      <c r="G40" s="46"/>
    </row>
    <row r="41" spans="2:14" x14ac:dyDescent="0.2">
      <c r="B41" t="s">
        <v>129</v>
      </c>
      <c r="E41" s="8">
        <f>E37*DATOS!B91</f>
        <v>1685215.6704000002</v>
      </c>
    </row>
    <row r="43" spans="2:14" x14ac:dyDescent="0.2">
      <c r="B43" s="54" t="s">
        <v>69</v>
      </c>
      <c r="C43" s="54"/>
      <c r="D43" s="54"/>
      <c r="E43" s="55">
        <f>SUM(E35:E41)</f>
        <v>18375036.995860003</v>
      </c>
    </row>
    <row r="45" spans="2:14" x14ac:dyDescent="0.2">
      <c r="B45" s="40"/>
      <c r="C45" s="40" t="s">
        <v>120</v>
      </c>
    </row>
    <row r="46" spans="2:14" ht="85" x14ac:dyDescent="0.2">
      <c r="B46" s="12"/>
      <c r="C46" s="13" t="s">
        <v>46</v>
      </c>
      <c r="D46" s="13" t="s">
        <v>47</v>
      </c>
      <c r="E46" s="13" t="s">
        <v>48</v>
      </c>
      <c r="M46" s="46"/>
    </row>
    <row r="47" spans="2:14" x14ac:dyDescent="0.2">
      <c r="B47" s="12" t="s">
        <v>49</v>
      </c>
      <c r="C47" s="12"/>
      <c r="D47" s="12"/>
      <c r="E47" s="44">
        <f>E32*13*1.3</f>
        <v>33.800000000000004</v>
      </c>
    </row>
    <row r="48" spans="2:14" x14ac:dyDescent="0.2">
      <c r="B48" s="12" t="s">
        <v>50</v>
      </c>
      <c r="C48" s="43">
        <f>($E$27*70)+($E$28*90)+($E$29*60)</f>
        <v>70</v>
      </c>
      <c r="D48" s="44">
        <f>$E$24</f>
        <v>9.9200000000000017</v>
      </c>
      <c r="E48" s="12"/>
    </row>
    <row r="49" spans="2:7" x14ac:dyDescent="0.2">
      <c r="B49" s="12" t="s">
        <v>51</v>
      </c>
      <c r="C49" s="43">
        <f t="shared" ref="C49:C55" si="0">($E$27*70)+($E$28*90)+($E$29*60)</f>
        <v>70</v>
      </c>
      <c r="D49" s="44">
        <f t="shared" ref="D49:D55" si="1">$E$24</f>
        <v>9.9200000000000017</v>
      </c>
      <c r="E49" s="12"/>
    </row>
    <row r="50" spans="2:7" x14ac:dyDescent="0.2">
      <c r="B50" s="12" t="s">
        <v>52</v>
      </c>
      <c r="C50" s="43">
        <f t="shared" si="0"/>
        <v>70</v>
      </c>
      <c r="D50" s="44">
        <f t="shared" si="1"/>
        <v>9.9200000000000017</v>
      </c>
      <c r="E50" s="12"/>
    </row>
    <row r="51" spans="2:7" x14ac:dyDescent="0.2">
      <c r="B51" s="12" t="s">
        <v>53</v>
      </c>
      <c r="C51" s="43">
        <f t="shared" si="0"/>
        <v>70</v>
      </c>
      <c r="D51" s="44">
        <f t="shared" si="1"/>
        <v>9.9200000000000017</v>
      </c>
      <c r="E51" s="12"/>
    </row>
    <row r="52" spans="2:7" x14ac:dyDescent="0.2">
      <c r="B52" s="12" t="s">
        <v>54</v>
      </c>
      <c r="C52" s="43">
        <f t="shared" si="0"/>
        <v>70</v>
      </c>
      <c r="D52" s="44">
        <f t="shared" si="1"/>
        <v>9.9200000000000017</v>
      </c>
      <c r="E52" s="12"/>
    </row>
    <row r="53" spans="2:7" x14ac:dyDescent="0.2">
      <c r="B53" s="12" t="s">
        <v>55</v>
      </c>
      <c r="C53" s="43">
        <f t="shared" si="0"/>
        <v>70</v>
      </c>
      <c r="D53" s="44">
        <f t="shared" si="1"/>
        <v>9.9200000000000017</v>
      </c>
      <c r="E53" s="12"/>
    </row>
    <row r="54" spans="2:7" x14ac:dyDescent="0.2">
      <c r="B54" s="12" t="s">
        <v>56</v>
      </c>
      <c r="C54" s="43">
        <f t="shared" si="0"/>
        <v>70</v>
      </c>
      <c r="D54" s="44">
        <f t="shared" si="1"/>
        <v>9.9200000000000017</v>
      </c>
      <c r="E54" s="12"/>
      <c r="G54" s="91" t="s">
        <v>239</v>
      </c>
    </row>
    <row r="55" spans="2:7" x14ac:dyDescent="0.2">
      <c r="B55" s="12" t="s">
        <v>57</v>
      </c>
      <c r="C55" s="43">
        <f t="shared" si="0"/>
        <v>70</v>
      </c>
      <c r="D55" s="44">
        <f t="shared" si="1"/>
        <v>9.9200000000000017</v>
      </c>
      <c r="E55" s="12"/>
      <c r="G55" s="90">
        <f>C58+D58+E58</f>
        <v>673.16</v>
      </c>
    </row>
    <row r="56" spans="2:7" x14ac:dyDescent="0.2">
      <c r="B56" s="12" t="s">
        <v>58</v>
      </c>
      <c r="C56" s="43"/>
      <c r="D56" s="44"/>
      <c r="E56" s="12"/>
    </row>
    <row r="57" spans="2:7" x14ac:dyDescent="0.2">
      <c r="B57" s="14" t="s">
        <v>59</v>
      </c>
      <c r="C57" s="43"/>
      <c r="D57" s="44"/>
      <c r="E57" s="14"/>
      <c r="G57" s="83" t="s">
        <v>62</v>
      </c>
    </row>
    <row r="58" spans="2:7" x14ac:dyDescent="0.2">
      <c r="B58" s="12" t="s">
        <v>25</v>
      </c>
      <c r="C58" s="63">
        <f>SUM(C47:C57)</f>
        <v>560</v>
      </c>
      <c r="D58" s="63">
        <f t="shared" ref="D58:E58" si="2">SUM(D47:D57)</f>
        <v>79.360000000000014</v>
      </c>
      <c r="E58" s="64">
        <f t="shared" si="2"/>
        <v>33.800000000000004</v>
      </c>
      <c r="G58" s="83">
        <f>SUM(C58:D58)</f>
        <v>639.36</v>
      </c>
    </row>
    <row r="59" spans="2:7" x14ac:dyDescent="0.2">
      <c r="C59" s="6"/>
      <c r="D59" s="6"/>
      <c r="E59" s="108"/>
    </row>
    <row r="60" spans="2:7" x14ac:dyDescent="0.2">
      <c r="B60" s="16" t="s">
        <v>70</v>
      </c>
      <c r="C60" s="16"/>
      <c r="D60" s="16"/>
      <c r="E60" s="16"/>
    </row>
    <row r="62" spans="2:7" x14ac:dyDescent="0.2">
      <c r="B62" t="s">
        <v>108</v>
      </c>
      <c r="E62" s="58">
        <f>E43/C58</f>
        <v>32812.566064035716</v>
      </c>
    </row>
    <row r="63" spans="2:7" x14ac:dyDescent="0.2">
      <c r="B63" s="40" t="s">
        <v>127</v>
      </c>
      <c r="C63" s="40"/>
      <c r="D63" s="65">
        <v>0</v>
      </c>
      <c r="E63" s="53">
        <f>$E$62*90*D63</f>
        <v>0</v>
      </c>
      <c r="G63" s="3" t="s">
        <v>223</v>
      </c>
    </row>
    <row r="64" spans="2:7" x14ac:dyDescent="0.2">
      <c r="B64" s="40" t="s">
        <v>128</v>
      </c>
      <c r="C64" s="40"/>
      <c r="D64" s="66">
        <v>1</v>
      </c>
      <c r="E64" s="53">
        <f>$E$62*70*D64</f>
        <v>2296879.6244825004</v>
      </c>
      <c r="G64" s="77">
        <v>1020000</v>
      </c>
    </row>
    <row r="65" spans="2:7" x14ac:dyDescent="0.2">
      <c r="B65" s="40" t="s">
        <v>110</v>
      </c>
      <c r="C65" s="40"/>
      <c r="D65" s="65"/>
      <c r="E65" s="53">
        <f t="shared" ref="E65" si="3">$E$62*90*D65</f>
        <v>0</v>
      </c>
      <c r="G65" s="77">
        <v>2040000</v>
      </c>
    </row>
  </sheetData>
  <mergeCells count="6">
    <mergeCell ref="G33:G34"/>
    <mergeCell ref="H6:J6"/>
    <mergeCell ref="K6:M6"/>
    <mergeCell ref="G7:G8"/>
    <mergeCell ref="B25:C25"/>
    <mergeCell ref="B20:C20"/>
  </mergeCells>
  <pageMargins left="0.7" right="0.7" top="0.75" bottom="0.75" header="0.3" footer="0.3"/>
  <pageSetup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9.9978637043366805E-2"/>
  </sheetPr>
  <dimension ref="A1:N63"/>
  <sheetViews>
    <sheetView topLeftCell="A35" zoomScale="70" zoomScaleNormal="70" workbookViewId="0">
      <selection activeCell="K50" sqref="K50"/>
    </sheetView>
  </sheetViews>
  <sheetFormatPr baseColWidth="10" defaultRowHeight="16" x14ac:dyDescent="0.2"/>
  <cols>
    <col min="1" max="1" width="7.1640625" customWidth="1"/>
    <col min="2" max="2" width="28.1640625" customWidth="1"/>
    <col min="3" max="3" width="25.33203125" customWidth="1"/>
    <col min="4" max="4" width="8.83203125" customWidth="1"/>
    <col min="5" max="5" width="20.83203125" customWidth="1"/>
    <col min="6" max="6" width="10.6640625" customWidth="1"/>
    <col min="7" max="7" width="35.3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41" t="s">
        <v>251</v>
      </c>
      <c r="C1" s="41"/>
      <c r="D1" s="42" t="s">
        <v>92</v>
      </c>
    </row>
    <row r="2" spans="1:7" x14ac:dyDescent="0.2">
      <c r="B2" s="40" t="s">
        <v>148</v>
      </c>
      <c r="C2" s="40"/>
      <c r="D2" s="42" t="s">
        <v>250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s="60" t="s">
        <v>153</v>
      </c>
      <c r="E5" s="2">
        <v>112.49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149</v>
      </c>
    </row>
    <row r="11" spans="1:7" x14ac:dyDescent="0.2">
      <c r="B11" t="s">
        <v>116</v>
      </c>
      <c r="E11" s="2" t="s">
        <v>147</v>
      </c>
      <c r="F11" t="s">
        <v>34</v>
      </c>
      <c r="G11" s="46"/>
    </row>
    <row r="12" spans="1:7" ht="51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18.75" customHeight="1" x14ac:dyDescent="0.2">
      <c r="B18" s="131" t="s">
        <v>119</v>
      </c>
      <c r="C18" s="131"/>
      <c r="E18" s="11">
        <f>E5*E6</f>
        <v>89.992000000000004</v>
      </c>
      <c r="F18" t="s">
        <v>0</v>
      </c>
      <c r="G18" s="46"/>
    </row>
    <row r="19" spans="2:14" x14ac:dyDescent="0.2">
      <c r="B19" t="s">
        <v>94</v>
      </c>
      <c r="E19" s="40">
        <f>E5*(E7+E8)</f>
        <v>719.93600000000004</v>
      </c>
      <c r="F19" t="s">
        <v>0</v>
      </c>
    </row>
    <row r="20" spans="2:14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  <c r="G20" s="46"/>
    </row>
    <row r="21" spans="2:14" x14ac:dyDescent="0.2">
      <c r="B21" t="s">
        <v>101</v>
      </c>
      <c r="E21">
        <f>E20*3</f>
        <v>24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8.9992000000000001</v>
      </c>
      <c r="F22" t="s">
        <v>0</v>
      </c>
      <c r="G22" s="59"/>
    </row>
    <row r="23" spans="2:14" ht="33" customHeight="1" x14ac:dyDescent="0.2">
      <c r="B23" s="130" t="s">
        <v>121</v>
      </c>
      <c r="C23" s="130"/>
      <c r="D23" s="49">
        <v>8</v>
      </c>
      <c r="E23" s="51">
        <f>E18-E22</f>
        <v>80.992800000000003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1.1570400000000001</v>
      </c>
      <c r="E25">
        <v>1</v>
      </c>
      <c r="F25" s="80">
        <f>D23*E25</f>
        <v>8</v>
      </c>
      <c r="G25" s="86">
        <f>F25+F29</f>
        <v>8</v>
      </c>
    </row>
    <row r="26" spans="2:14" x14ac:dyDescent="0.2">
      <c r="B26" t="s">
        <v>141</v>
      </c>
      <c r="D26" s="2"/>
      <c r="F26" s="80">
        <f>D23*E26</f>
        <v>0</v>
      </c>
      <c r="G26" s="86">
        <f>F26+F30</f>
        <v>0</v>
      </c>
    </row>
    <row r="27" spans="2:14" x14ac:dyDescent="0.2">
      <c r="B27" t="s">
        <v>125</v>
      </c>
      <c r="D27" s="2">
        <f>E23/60</f>
        <v>1.34988</v>
      </c>
      <c r="F27" s="80">
        <f>D23*E27</f>
        <v>0</v>
      </c>
      <c r="G27" s="86">
        <f>F27+F31</f>
        <v>0</v>
      </c>
    </row>
    <row r="28" spans="2:14" x14ac:dyDescent="0.2">
      <c r="D28" s="2"/>
    </row>
    <row r="29" spans="2:14" x14ac:dyDescent="0.2">
      <c r="B29" s="40" t="s">
        <v>123</v>
      </c>
      <c r="C29" s="40"/>
      <c r="D29" s="40"/>
      <c r="E29" s="56">
        <f>SUM(F25:F27)</f>
        <v>8</v>
      </c>
    </row>
    <row r="30" spans="2:14" x14ac:dyDescent="0.2">
      <c r="B30" t="s">
        <v>126</v>
      </c>
      <c r="E30" s="11">
        <f>E29*0.25</f>
        <v>2</v>
      </c>
    </row>
    <row r="31" spans="2:14" x14ac:dyDescent="0.2">
      <c r="F31" s="40"/>
    </row>
    <row r="32" spans="2:14" x14ac:dyDescent="0.2">
      <c r="B32" s="16" t="s">
        <v>64</v>
      </c>
      <c r="C32" s="16"/>
      <c r="D32" s="16"/>
      <c r="E32" s="16"/>
      <c r="F32" s="40"/>
      <c r="G32" s="139" t="s">
        <v>104</v>
      </c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8">
        <v>7995000</v>
      </c>
      <c r="F33" s="40"/>
      <c r="G33" s="139"/>
      <c r="H33" s="40"/>
    </row>
    <row r="34" spans="2:13" x14ac:dyDescent="0.2">
      <c r="B34" t="s">
        <v>107</v>
      </c>
      <c r="E34" s="8">
        <f>(E33-DATOS!L66)*DATOS!M66</f>
        <v>258960.24231000003</v>
      </c>
      <c r="G34" s="40"/>
    </row>
    <row r="35" spans="2:13" x14ac:dyDescent="0.2">
      <c r="B35" t="s">
        <v>65</v>
      </c>
      <c r="E35" s="8">
        <f>G53*DATOS!H31</f>
        <v>11111828.866560001</v>
      </c>
    </row>
    <row r="36" spans="2:13" x14ac:dyDescent="0.2">
      <c r="B36" t="s">
        <v>67</v>
      </c>
      <c r="E36" s="8">
        <f>E35*DATOS!B39</f>
        <v>888946.30932480004</v>
      </c>
      <c r="G36" s="40"/>
    </row>
    <row r="37" spans="2:13" x14ac:dyDescent="0.2">
      <c r="B37" t="s">
        <v>86</v>
      </c>
      <c r="E37" s="8">
        <f>E35*DATOS!B49</f>
        <v>777828.02065920015</v>
      </c>
    </row>
    <row r="38" spans="2:13" x14ac:dyDescent="0.2">
      <c r="B38" t="s">
        <v>68</v>
      </c>
      <c r="E38" s="8">
        <f>E35*DATOS!B83</f>
        <v>722268.87632640009</v>
      </c>
    </row>
    <row r="39" spans="2:13" x14ac:dyDescent="0.2">
      <c r="B39" t="s">
        <v>129</v>
      </c>
      <c r="E39" s="8">
        <f>E35*DATOS!B91</f>
        <v>1666774.3299840002</v>
      </c>
    </row>
    <row r="41" spans="2:13" x14ac:dyDescent="0.2">
      <c r="B41" s="54" t="s">
        <v>69</v>
      </c>
      <c r="C41" s="54"/>
      <c r="D41" s="54"/>
      <c r="E41" s="55">
        <f>SUM(E33:E39)</f>
        <v>23421606.645164404</v>
      </c>
    </row>
    <row r="43" spans="2:13" x14ac:dyDescent="0.2">
      <c r="B43" s="40"/>
      <c r="C43" s="40" t="s">
        <v>120</v>
      </c>
    </row>
    <row r="44" spans="2:13" ht="85" x14ac:dyDescent="0.2">
      <c r="B44" s="12"/>
      <c r="C44" s="13" t="s">
        <v>46</v>
      </c>
      <c r="D44" s="13" t="s">
        <v>47</v>
      </c>
      <c r="E44" s="13" t="s">
        <v>48</v>
      </c>
      <c r="M44" s="46"/>
    </row>
    <row r="45" spans="2:13" x14ac:dyDescent="0.2">
      <c r="B45" s="12" t="s">
        <v>49</v>
      </c>
      <c r="C45" s="12"/>
      <c r="D45" s="12"/>
      <c r="E45" s="44">
        <f>E30*13*1.3</f>
        <v>33.800000000000004</v>
      </c>
    </row>
    <row r="46" spans="2:13" x14ac:dyDescent="0.2">
      <c r="B46" s="12" t="s">
        <v>50</v>
      </c>
      <c r="C46" s="43">
        <f>($E$25*70)+($E$26*90)+($E$27*60)</f>
        <v>70</v>
      </c>
      <c r="D46" s="44">
        <f>$E$22</f>
        <v>8.9992000000000001</v>
      </c>
      <c r="E46" s="12"/>
    </row>
    <row r="47" spans="2:13" x14ac:dyDescent="0.2">
      <c r="B47" s="12" t="s">
        <v>51</v>
      </c>
      <c r="C47" s="43">
        <f t="shared" ref="C47:C53" si="0">($E$25*70)+($E$26*90)+($E$27*60)</f>
        <v>70</v>
      </c>
      <c r="D47" s="44">
        <f t="shared" ref="D47:D53" si="1">$E$22</f>
        <v>8.9992000000000001</v>
      </c>
      <c r="E47" s="12"/>
    </row>
    <row r="48" spans="2:13" x14ac:dyDescent="0.2">
      <c r="B48" s="12" t="s">
        <v>52</v>
      </c>
      <c r="C48" s="43">
        <f t="shared" si="0"/>
        <v>70</v>
      </c>
      <c r="D48" s="44">
        <f t="shared" si="1"/>
        <v>8.9992000000000001</v>
      </c>
      <c r="E48" s="12"/>
    </row>
    <row r="49" spans="2:7" x14ac:dyDescent="0.2">
      <c r="B49" s="12" t="s">
        <v>53</v>
      </c>
      <c r="C49" s="43">
        <f t="shared" si="0"/>
        <v>70</v>
      </c>
      <c r="D49" s="44">
        <f t="shared" si="1"/>
        <v>8.9992000000000001</v>
      </c>
      <c r="E49" s="12"/>
    </row>
    <row r="50" spans="2:7" x14ac:dyDescent="0.2">
      <c r="B50" s="12" t="s">
        <v>54</v>
      </c>
      <c r="C50" s="43">
        <f t="shared" si="0"/>
        <v>70</v>
      </c>
      <c r="D50" s="44">
        <f t="shared" si="1"/>
        <v>8.9992000000000001</v>
      </c>
      <c r="E50" s="12"/>
    </row>
    <row r="51" spans="2:7" x14ac:dyDescent="0.2">
      <c r="B51" s="12" t="s">
        <v>55</v>
      </c>
      <c r="C51" s="43">
        <f t="shared" si="0"/>
        <v>70</v>
      </c>
      <c r="D51" s="44">
        <f t="shared" si="1"/>
        <v>8.9992000000000001</v>
      </c>
      <c r="E51" s="12"/>
    </row>
    <row r="52" spans="2:7" x14ac:dyDescent="0.2">
      <c r="B52" s="12" t="s">
        <v>56</v>
      </c>
      <c r="C52" s="43">
        <f t="shared" si="0"/>
        <v>70</v>
      </c>
      <c r="D52" s="44">
        <f t="shared" si="1"/>
        <v>8.9992000000000001</v>
      </c>
      <c r="E52" s="12"/>
      <c r="G52" s="91" t="s">
        <v>239</v>
      </c>
    </row>
    <row r="53" spans="2:7" x14ac:dyDescent="0.2">
      <c r="B53" s="12" t="s">
        <v>57</v>
      </c>
      <c r="C53" s="43">
        <f t="shared" si="0"/>
        <v>70</v>
      </c>
      <c r="D53" s="44">
        <f t="shared" si="1"/>
        <v>8.9992000000000001</v>
      </c>
      <c r="E53" s="12"/>
      <c r="G53" s="90">
        <f>C56+D56+E56</f>
        <v>665.79359999999997</v>
      </c>
    </row>
    <row r="54" spans="2:7" x14ac:dyDescent="0.2">
      <c r="B54" s="12" t="s">
        <v>58</v>
      </c>
      <c r="C54" s="43"/>
      <c r="D54" s="44"/>
      <c r="E54" s="12"/>
    </row>
    <row r="55" spans="2:7" x14ac:dyDescent="0.2">
      <c r="B55" s="14" t="s">
        <v>59</v>
      </c>
      <c r="C55" s="43"/>
      <c r="D55" s="44"/>
      <c r="E55" s="14"/>
      <c r="G55" s="83" t="s">
        <v>62</v>
      </c>
    </row>
    <row r="56" spans="2:7" x14ac:dyDescent="0.2">
      <c r="B56" s="12" t="s">
        <v>25</v>
      </c>
      <c r="C56" s="63">
        <f>SUM(C45:C55)</f>
        <v>560</v>
      </c>
      <c r="D56" s="63">
        <f t="shared" ref="D56:E56" si="2">SUM(D45:D55)</f>
        <v>71.993600000000001</v>
      </c>
      <c r="E56" s="64">
        <f t="shared" si="2"/>
        <v>33.800000000000004</v>
      </c>
      <c r="G56" s="83">
        <f>SUM(C56:D56)</f>
        <v>631.99360000000001</v>
      </c>
    </row>
    <row r="58" spans="2:7" x14ac:dyDescent="0.2">
      <c r="B58" s="16" t="s">
        <v>70</v>
      </c>
      <c r="C58" s="16"/>
      <c r="D58" s="16"/>
      <c r="E58" s="16"/>
    </row>
    <row r="60" spans="2:7" x14ac:dyDescent="0.2">
      <c r="B60" t="s">
        <v>108</v>
      </c>
      <c r="E60" s="58">
        <f>E41/C56</f>
        <v>41824.297580650724</v>
      </c>
    </row>
    <row r="61" spans="2:7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7" x14ac:dyDescent="0.2">
      <c r="B62" s="40" t="s">
        <v>128</v>
      </c>
      <c r="C62" s="40"/>
      <c r="D62" s="66"/>
      <c r="E62" s="53">
        <f>$E$60*70*D62</f>
        <v>0</v>
      </c>
      <c r="G62" s="77">
        <v>1020000</v>
      </c>
    </row>
    <row r="63" spans="2:7" x14ac:dyDescent="0.2">
      <c r="B63" s="40" t="s">
        <v>110</v>
      </c>
      <c r="C63" s="40"/>
      <c r="D63" s="65">
        <v>1</v>
      </c>
      <c r="E63" s="53">
        <f>$E$60*90*D63</f>
        <v>3764186.7822585651</v>
      </c>
      <c r="G63" s="77">
        <v>2040000</v>
      </c>
    </row>
  </sheetData>
  <mergeCells count="4">
    <mergeCell ref="G32:G33"/>
    <mergeCell ref="G5:G6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0941A-F45E-4D64-8E27-682CD2AB727E}">
  <sheetPr>
    <tabColor theme="7" tint="0.59999389629810485"/>
  </sheetPr>
  <dimension ref="A1:M69"/>
  <sheetViews>
    <sheetView showGridLines="0" zoomScale="40" zoomScaleNormal="60" workbookViewId="0">
      <selection activeCell="AO70" sqref="AO70"/>
    </sheetView>
  </sheetViews>
  <sheetFormatPr baseColWidth="10" defaultRowHeight="16" x14ac:dyDescent="0.2"/>
  <cols>
    <col min="1" max="1" width="7.1640625" customWidth="1"/>
    <col min="2" max="2" width="35" customWidth="1"/>
    <col min="3" max="3" width="35.33203125" customWidth="1"/>
    <col min="4" max="4" width="8.83203125" customWidth="1"/>
    <col min="5" max="5" width="25.5" customWidth="1"/>
    <col min="6" max="6" width="9.33203125" customWidth="1"/>
    <col min="7" max="7" width="40.8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.1640625" customWidth="1"/>
    <col min="14" max="14" width="18.83203125" customWidth="1"/>
  </cols>
  <sheetData>
    <row r="1" spans="1:7" x14ac:dyDescent="0.2">
      <c r="A1" s="40" t="s">
        <v>28</v>
      </c>
      <c r="B1" s="41" t="s">
        <v>252</v>
      </c>
      <c r="C1" s="41"/>
      <c r="D1" s="42" t="s">
        <v>92</v>
      </c>
    </row>
    <row r="2" spans="1:7" x14ac:dyDescent="0.2">
      <c r="B2" s="40" t="s">
        <v>204</v>
      </c>
      <c r="C2" s="40"/>
      <c r="D2" s="42" t="s">
        <v>250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593.75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3.6</v>
      </c>
    </row>
    <row r="8" spans="1:7" x14ac:dyDescent="0.2">
      <c r="B8" t="s">
        <v>93</v>
      </c>
      <c r="E8" s="2">
        <v>1.2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203</v>
      </c>
    </row>
    <row r="11" spans="1:7" x14ac:dyDescent="0.2">
      <c r="B11" t="s">
        <v>116</v>
      </c>
      <c r="E11" s="2" t="s">
        <v>205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97</v>
      </c>
    </row>
    <row r="18" spans="1:8" ht="34" x14ac:dyDescent="0.2">
      <c r="B18" s="5" t="s">
        <v>119</v>
      </c>
      <c r="C18" s="5"/>
      <c r="E18" s="11">
        <f>E5*E6</f>
        <v>475</v>
      </c>
      <c r="F18" t="s">
        <v>0</v>
      </c>
      <c r="G18" s="46"/>
    </row>
    <row r="19" spans="1:8" x14ac:dyDescent="0.2">
      <c r="B19" t="s">
        <v>94</v>
      </c>
      <c r="E19" s="40">
        <f>E5*(E7+E8)</f>
        <v>2850</v>
      </c>
      <c r="F19" t="s">
        <v>0</v>
      </c>
    </row>
    <row r="20" spans="1:8" x14ac:dyDescent="0.2">
      <c r="B20" t="s">
        <v>39</v>
      </c>
      <c r="D20" s="11">
        <f>E19/E18</f>
        <v>6</v>
      </c>
      <c r="E20" s="11">
        <f>D20</f>
        <v>6</v>
      </c>
      <c r="F20" t="s">
        <v>40</v>
      </c>
    </row>
    <row r="21" spans="1:8" x14ac:dyDescent="0.2">
      <c r="B21" t="s">
        <v>101</v>
      </c>
      <c r="E21">
        <f>E20*3</f>
        <v>18</v>
      </c>
      <c r="F21" t="s">
        <v>34</v>
      </c>
      <c r="H21" t="s">
        <v>106</v>
      </c>
    </row>
    <row r="22" spans="1:8" ht="34" customHeight="1" x14ac:dyDescent="0.2">
      <c r="B22" s="5" t="s">
        <v>102</v>
      </c>
      <c r="C22" s="5"/>
      <c r="E22" s="11">
        <f>E18-(5*22)</f>
        <v>365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47.5</v>
      </c>
      <c r="F24" t="s">
        <v>0</v>
      </c>
    </row>
    <row r="25" spans="1:8" ht="34" x14ac:dyDescent="0.2">
      <c r="B25" s="48" t="s">
        <v>189</v>
      </c>
      <c r="C25" s="48"/>
      <c r="D25" s="49">
        <v>3</v>
      </c>
      <c r="E25" s="51">
        <f>E18-E24</f>
        <v>427.5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6.1071428571428568</v>
      </c>
      <c r="E26">
        <v>6</v>
      </c>
      <c r="F26" s="80">
        <f>$D$25*E26</f>
        <v>18</v>
      </c>
      <c r="G26" s="86">
        <f>F26+F30</f>
        <v>30</v>
      </c>
    </row>
    <row r="27" spans="1:8" x14ac:dyDescent="0.2">
      <c r="A27" s="137"/>
      <c r="B27" t="s">
        <v>124</v>
      </c>
      <c r="D27" s="11">
        <f>E25/90</f>
        <v>4.75</v>
      </c>
      <c r="E27" s="2"/>
      <c r="F27" s="80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7.125</v>
      </c>
      <c r="E28" s="2"/>
      <c r="F28" s="80">
        <f>$D$25*E28</f>
        <v>0</v>
      </c>
      <c r="G28" s="86">
        <f>F28+F32</f>
        <v>0</v>
      </c>
    </row>
    <row r="29" spans="1:8" ht="34" x14ac:dyDescent="0.2">
      <c r="A29" s="137"/>
      <c r="B29" s="71" t="s">
        <v>206</v>
      </c>
      <c r="C29" s="71"/>
      <c r="D29" s="72">
        <v>3</v>
      </c>
      <c r="E29" s="73">
        <f>E22-E24</f>
        <v>317.5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4.5357142857142856</v>
      </c>
      <c r="E30">
        <v>4</v>
      </c>
      <c r="F30" s="80">
        <f>$D$29*E30</f>
        <v>12</v>
      </c>
    </row>
    <row r="31" spans="1:8" x14ac:dyDescent="0.2">
      <c r="B31" t="s">
        <v>124</v>
      </c>
      <c r="D31">
        <f>E29/90</f>
        <v>3.5277777777777777</v>
      </c>
      <c r="F31" s="80">
        <f>$D$29*E31</f>
        <v>0</v>
      </c>
    </row>
    <row r="32" spans="1:8" x14ac:dyDescent="0.2">
      <c r="B32" t="s">
        <v>125</v>
      </c>
      <c r="D32">
        <f>E29/60</f>
        <v>5.291666666666667</v>
      </c>
      <c r="F32" s="80">
        <f>$D$29*E32</f>
        <v>0</v>
      </c>
    </row>
    <row r="34" spans="2:13" x14ac:dyDescent="0.2">
      <c r="B34" s="40" t="s">
        <v>123</v>
      </c>
      <c r="C34" s="40"/>
      <c r="D34" s="40"/>
      <c r="E34" s="56">
        <f>SUM(G26:G28)</f>
        <v>30</v>
      </c>
    </row>
    <row r="35" spans="2:13" x14ac:dyDescent="0.2">
      <c r="B35" t="s">
        <v>126</v>
      </c>
      <c r="D35" s="11">
        <f>E34*0.25</f>
        <v>7.5</v>
      </c>
      <c r="E35">
        <v>8</v>
      </c>
    </row>
    <row r="37" spans="2:13" x14ac:dyDescent="0.2">
      <c r="F37" s="40"/>
    </row>
    <row r="38" spans="2:13" x14ac:dyDescent="0.2">
      <c r="B38" s="16" t="s">
        <v>64</v>
      </c>
      <c r="C38" s="16"/>
      <c r="D38" s="16"/>
      <c r="E38" s="16"/>
      <c r="F38" s="40"/>
      <c r="G38" s="139" t="s">
        <v>104</v>
      </c>
      <c r="H38" s="40"/>
      <c r="I38" s="40"/>
      <c r="J38" s="40"/>
      <c r="K38" s="40"/>
      <c r="L38" s="40"/>
      <c r="M38" s="40"/>
    </row>
    <row r="39" spans="2:13" x14ac:dyDescent="0.2">
      <c r="B39" t="s">
        <v>28</v>
      </c>
      <c r="E39" s="8">
        <v>3999000</v>
      </c>
      <c r="F39" s="40"/>
      <c r="G39" s="139"/>
      <c r="H39" s="40"/>
    </row>
    <row r="40" spans="2:13" x14ac:dyDescent="0.2">
      <c r="B40" t="s">
        <v>107</v>
      </c>
      <c r="E40" s="8">
        <f>(E39-DATOS!L65)*DATOS!M65</f>
        <v>125081.68832</v>
      </c>
      <c r="F40" s="40"/>
      <c r="G40" s="40"/>
    </row>
    <row r="41" spans="2:13" x14ac:dyDescent="0.2">
      <c r="B41" t="s">
        <v>65</v>
      </c>
      <c r="E41" s="8">
        <f>G59*DATOS!H31</f>
        <v>42061129.920000002</v>
      </c>
    </row>
    <row r="42" spans="2:13" x14ac:dyDescent="0.2">
      <c r="B42" t="s">
        <v>67</v>
      </c>
      <c r="E42" s="8">
        <f>E41*DATOS!B39</f>
        <v>3364890.3936000001</v>
      </c>
      <c r="G42" s="40"/>
    </row>
    <row r="43" spans="2:13" x14ac:dyDescent="0.2">
      <c r="B43" t="s">
        <v>86</v>
      </c>
      <c r="E43" s="8">
        <f>E41*DATOS!B49</f>
        <v>2944279.0944000003</v>
      </c>
    </row>
    <row r="44" spans="2:13" x14ac:dyDescent="0.2">
      <c r="B44" t="s">
        <v>68</v>
      </c>
      <c r="E44" s="8">
        <f>E41*DATOS!B83</f>
        <v>2733973.4448000002</v>
      </c>
      <c r="G44" s="46"/>
    </row>
    <row r="45" spans="2:13" x14ac:dyDescent="0.2">
      <c r="B45" t="s">
        <v>129</v>
      </c>
      <c r="E45" s="8">
        <f>E41*DATOS!B91</f>
        <v>6309169.4879999999</v>
      </c>
    </row>
    <row r="47" spans="2:13" x14ac:dyDescent="0.2">
      <c r="B47" s="54" t="s">
        <v>69</v>
      </c>
      <c r="C47" s="54"/>
      <c r="D47" s="54"/>
      <c r="E47" s="55">
        <f>SUM(E39:E45)</f>
        <v>61537524.029120006</v>
      </c>
    </row>
    <row r="49" spans="2:13" x14ac:dyDescent="0.2">
      <c r="B49" s="40"/>
      <c r="C49" s="40" t="s">
        <v>120</v>
      </c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</row>
    <row r="51" spans="2:13" x14ac:dyDescent="0.2">
      <c r="B51" s="12" t="s">
        <v>49</v>
      </c>
      <c r="C51" s="12"/>
      <c r="D51" s="12"/>
      <c r="E51" s="44">
        <f>E35*13*1.3</f>
        <v>135.20000000000002</v>
      </c>
    </row>
    <row r="52" spans="2:13" x14ac:dyDescent="0.2">
      <c r="B52" s="12" t="s">
        <v>50</v>
      </c>
      <c r="C52" s="43">
        <f>($E$28*60)+($E$26*70)+($E$27*90)</f>
        <v>420</v>
      </c>
      <c r="D52" s="44">
        <f>$E$24</f>
        <v>47.5</v>
      </c>
      <c r="E52" s="12"/>
    </row>
    <row r="53" spans="2:13" x14ac:dyDescent="0.2">
      <c r="B53" s="12" t="s">
        <v>51</v>
      </c>
      <c r="C53" s="43">
        <f t="shared" ref="C53:C54" si="0">($E$28*60)+($E$26*70)+($E$27*90)</f>
        <v>420</v>
      </c>
      <c r="D53" s="44">
        <f>$E$24</f>
        <v>47.5</v>
      </c>
      <c r="E53" s="12"/>
    </row>
    <row r="54" spans="2:13" x14ac:dyDescent="0.2">
      <c r="B54" s="12" t="s">
        <v>52</v>
      </c>
      <c r="C54" s="43">
        <f t="shared" si="0"/>
        <v>420</v>
      </c>
      <c r="D54" s="44">
        <f>$E$24</f>
        <v>47.5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>($E$30*70)+($E$31*90)+($E$32*60)</f>
        <v>280</v>
      </c>
      <c r="D55" s="44">
        <f>$E$24</f>
        <v>47.5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>($E$30*70)+($E$31*90)+($E$32*60)</f>
        <v>280</v>
      </c>
      <c r="D56" s="44">
        <f t="shared" ref="D56:D57" si="1">$E$24</f>
        <v>47.5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>
        <f>($E$30*70)+($E$31*90)+($E$32*60)</f>
        <v>280</v>
      </c>
      <c r="D57" s="44">
        <f t="shared" si="1"/>
        <v>47.5</v>
      </c>
      <c r="E57" s="12"/>
      <c r="I57" s="6"/>
      <c r="J57" s="6"/>
      <c r="K57" s="108"/>
      <c r="M57" s="86"/>
    </row>
    <row r="58" spans="2:13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/>
      <c r="D59" s="44"/>
      <c r="E59" s="12"/>
      <c r="G59" s="90">
        <f>C62+D62+E62</f>
        <v>2520.1999999999998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83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2100</v>
      </c>
      <c r="D62" s="63">
        <f t="shared" ref="D62:E62" si="2">SUM(D51:D61)</f>
        <v>285</v>
      </c>
      <c r="E62" s="64">
        <f t="shared" si="2"/>
        <v>135.20000000000002</v>
      </c>
      <c r="G62" s="83">
        <f>SUM(C62:D62)</f>
        <v>2385</v>
      </c>
    </row>
    <row r="64" spans="2:13" x14ac:dyDescent="0.2">
      <c r="B64" s="16" t="s">
        <v>70</v>
      </c>
      <c r="C64" s="16"/>
      <c r="D64" s="16"/>
      <c r="E64" s="16"/>
    </row>
    <row r="66" spans="2:7" x14ac:dyDescent="0.2">
      <c r="B66" t="s">
        <v>108</v>
      </c>
      <c r="E66" s="58">
        <f>E47/C62</f>
        <v>29303.582871009527</v>
      </c>
    </row>
    <row r="67" spans="2:7" x14ac:dyDescent="0.2">
      <c r="B67" s="40" t="s">
        <v>127</v>
      </c>
      <c r="C67" s="40"/>
      <c r="D67" s="40"/>
      <c r="E67" s="53">
        <f>E66*90*D67</f>
        <v>0</v>
      </c>
      <c r="G67" s="3" t="s">
        <v>223</v>
      </c>
    </row>
    <row r="68" spans="2:7" x14ac:dyDescent="0.2">
      <c r="B68" s="40" t="s">
        <v>128</v>
      </c>
      <c r="C68" s="40"/>
      <c r="D68" s="52">
        <v>1</v>
      </c>
      <c r="E68" s="78">
        <f>E66*70*D68</f>
        <v>2051250.8009706668</v>
      </c>
      <c r="G68" s="77">
        <v>1020000</v>
      </c>
    </row>
    <row r="69" spans="2:7" x14ac:dyDescent="0.2">
      <c r="B69" s="40" t="s">
        <v>110</v>
      </c>
      <c r="C69" s="40"/>
      <c r="D69" s="74">
        <v>1</v>
      </c>
      <c r="E69" s="78">
        <f>E66*60*D69</f>
        <v>1758214.9722605716</v>
      </c>
      <c r="G69" s="77">
        <v>2040000</v>
      </c>
    </row>
  </sheetData>
  <mergeCells count="3">
    <mergeCell ref="A27:A30"/>
    <mergeCell ref="G5:G6"/>
    <mergeCell ref="G38:G39"/>
  </mergeCells>
  <pageMargins left="0.7" right="0.7" top="0.75" bottom="0.75" header="0.3" footer="0.3"/>
  <pageSetup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 tint="-9.9978637043366805E-2"/>
  </sheetPr>
  <dimension ref="A1:N63"/>
  <sheetViews>
    <sheetView topLeftCell="A26" zoomScale="74" zoomScaleNormal="80" workbookViewId="0">
      <selection activeCell="H44" sqref="H44"/>
    </sheetView>
  </sheetViews>
  <sheetFormatPr baseColWidth="10" defaultRowHeight="16" x14ac:dyDescent="0.2"/>
  <cols>
    <col min="1" max="1" width="7.1640625" customWidth="1"/>
    <col min="2" max="2" width="23.6640625" customWidth="1"/>
    <col min="3" max="3" width="20.83203125" customWidth="1"/>
    <col min="4" max="4" width="10.1640625" customWidth="1"/>
    <col min="5" max="5" width="25.5" customWidth="1"/>
    <col min="6" max="6" width="8.5" customWidth="1"/>
    <col min="7" max="7" width="35.1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41" t="s">
        <v>253</v>
      </c>
      <c r="C1" s="41"/>
      <c r="D1" s="42" t="s">
        <v>92</v>
      </c>
    </row>
    <row r="2" spans="1:7" x14ac:dyDescent="0.2">
      <c r="B2" s="40" t="s">
        <v>150</v>
      </c>
      <c r="C2" s="40"/>
      <c r="D2" s="42" t="s">
        <v>250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154</v>
      </c>
      <c r="E5" s="2">
        <v>1890.98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3.2</v>
      </c>
    </row>
    <row r="8" spans="1:7" x14ac:dyDescent="0.2">
      <c r="B8" t="s">
        <v>93</v>
      </c>
      <c r="E8" s="2">
        <v>0.8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149</v>
      </c>
    </row>
    <row r="11" spans="1:7" x14ac:dyDescent="0.2">
      <c r="B11" t="s">
        <v>116</v>
      </c>
      <c r="E11" s="2" t="s">
        <v>147</v>
      </c>
      <c r="F11" t="s">
        <v>34</v>
      </c>
      <c r="G11" s="46"/>
    </row>
    <row r="12" spans="1:7" ht="34" x14ac:dyDescent="0.2">
      <c r="B12" s="118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35.25" customHeight="1" x14ac:dyDescent="0.2">
      <c r="B18" s="131" t="s">
        <v>119</v>
      </c>
      <c r="C18" s="131"/>
      <c r="E18" s="11">
        <f>E5*E6</f>
        <v>1512.7840000000001</v>
      </c>
      <c r="F18" t="s">
        <v>0</v>
      </c>
      <c r="G18" s="46"/>
    </row>
    <row r="19" spans="2:14" x14ac:dyDescent="0.2">
      <c r="B19" t="s">
        <v>94</v>
      </c>
      <c r="E19" s="40">
        <f>E5*(E7+E8)</f>
        <v>7563.92</v>
      </c>
      <c r="F19" t="s">
        <v>0</v>
      </c>
    </row>
    <row r="20" spans="2:14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  <c r="G20" s="46"/>
    </row>
    <row r="21" spans="2:14" x14ac:dyDescent="0.2">
      <c r="B21" t="s">
        <v>101</v>
      </c>
      <c r="E21">
        <f>E20*3</f>
        <v>15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151.2784</v>
      </c>
      <c r="F22" t="s">
        <v>0</v>
      </c>
      <c r="G22" s="59"/>
    </row>
    <row r="23" spans="2:14" ht="42" customHeight="1" x14ac:dyDescent="0.2">
      <c r="B23" s="130" t="s">
        <v>121</v>
      </c>
      <c r="C23" s="130"/>
      <c r="D23" s="49">
        <v>5</v>
      </c>
      <c r="E23" s="51">
        <f>E18-E22</f>
        <v>1361.5056000000002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19.450080000000003</v>
      </c>
      <c r="E25">
        <v>15</v>
      </c>
      <c r="F25" s="80">
        <f>$D$23*E25</f>
        <v>75</v>
      </c>
      <c r="G25" s="86">
        <f>F25</f>
        <v>75</v>
      </c>
    </row>
    <row r="26" spans="2:14" x14ac:dyDescent="0.2">
      <c r="B26" t="s">
        <v>141</v>
      </c>
      <c r="D26" s="2"/>
      <c r="F26" s="80">
        <f>$D$23*E26</f>
        <v>0</v>
      </c>
      <c r="G26" s="86">
        <f>F26</f>
        <v>0</v>
      </c>
    </row>
    <row r="27" spans="2:14" x14ac:dyDescent="0.2">
      <c r="B27" t="s">
        <v>125</v>
      </c>
      <c r="D27" s="2"/>
      <c r="E27">
        <v>5</v>
      </c>
      <c r="F27" s="80">
        <f>$D$23*E27</f>
        <v>25</v>
      </c>
      <c r="G27" s="86">
        <f>F27</f>
        <v>25</v>
      </c>
    </row>
    <row r="28" spans="2:14" x14ac:dyDescent="0.2">
      <c r="D28" s="2"/>
      <c r="F28" s="80"/>
      <c r="G28" s="86"/>
    </row>
    <row r="29" spans="2:14" x14ac:dyDescent="0.2">
      <c r="B29" s="40" t="s">
        <v>123</v>
      </c>
      <c r="C29" s="40"/>
      <c r="D29" s="40"/>
      <c r="E29" s="56">
        <f>SUM(G25:G27)</f>
        <v>100</v>
      </c>
    </row>
    <row r="30" spans="2:14" x14ac:dyDescent="0.2">
      <c r="B30" t="s">
        <v>126</v>
      </c>
      <c r="D30" s="11">
        <f>E29*0.25</f>
        <v>25</v>
      </c>
      <c r="E30">
        <v>25</v>
      </c>
    </row>
    <row r="31" spans="2:14" x14ac:dyDescent="0.2">
      <c r="G31" s="136" t="s">
        <v>104</v>
      </c>
    </row>
    <row r="32" spans="2:14" x14ac:dyDescent="0.2">
      <c r="B32" s="16" t="s">
        <v>64</v>
      </c>
      <c r="C32" s="16"/>
      <c r="D32" s="16"/>
      <c r="E32" s="16"/>
      <c r="F32" s="40"/>
      <c r="G32" s="136"/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8">
        <v>70000000</v>
      </c>
      <c r="F33" s="40"/>
      <c r="G33" s="40"/>
      <c r="H33" s="40"/>
    </row>
    <row r="34" spans="2:13" x14ac:dyDescent="0.2">
      <c r="B34" t="s">
        <v>107</v>
      </c>
      <c r="E34" s="8">
        <f>(E33-DATOS!L68)*DATOS!M68</f>
        <v>2399743.8493000004</v>
      </c>
      <c r="F34" s="40"/>
      <c r="G34" s="40"/>
    </row>
    <row r="35" spans="2:13" x14ac:dyDescent="0.2">
      <c r="B35" t="s">
        <v>65</v>
      </c>
      <c r="E35" s="8">
        <f>G53*DATOS!H31</f>
        <v>132330035.92320001</v>
      </c>
    </row>
    <row r="36" spans="2:13" x14ac:dyDescent="0.2">
      <c r="B36" t="s">
        <v>67</v>
      </c>
      <c r="E36" s="8">
        <f>E35*DATOS!B39</f>
        <v>10586402.873856001</v>
      </c>
      <c r="G36" s="40"/>
    </row>
    <row r="37" spans="2:13" x14ac:dyDescent="0.2">
      <c r="B37" t="s">
        <v>86</v>
      </c>
      <c r="E37" s="8">
        <f>E35*DATOS!B49</f>
        <v>9263102.5146240015</v>
      </c>
    </row>
    <row r="38" spans="2:13" x14ac:dyDescent="0.2">
      <c r="B38" t="s">
        <v>68</v>
      </c>
      <c r="E38" s="8">
        <f>E35*DATOS!B83</f>
        <v>8601452.335008001</v>
      </c>
      <c r="G38" s="46"/>
    </row>
    <row r="39" spans="2:13" x14ac:dyDescent="0.2">
      <c r="B39" t="s">
        <v>129</v>
      </c>
      <c r="E39" s="8">
        <f>E35*DATOS!B91</f>
        <v>19849505.38848</v>
      </c>
    </row>
    <row r="41" spans="2:13" x14ac:dyDescent="0.2">
      <c r="B41" s="54" t="s">
        <v>69</v>
      </c>
      <c r="C41" s="54"/>
      <c r="D41" s="54"/>
      <c r="E41" s="55">
        <f>SUM(E33:E39)</f>
        <v>253030242.88446802</v>
      </c>
    </row>
    <row r="43" spans="2:13" x14ac:dyDescent="0.2">
      <c r="B43" s="40"/>
      <c r="C43" s="40" t="s">
        <v>120</v>
      </c>
    </row>
    <row r="44" spans="2:13" ht="119" x14ac:dyDescent="0.2">
      <c r="B44" s="12"/>
      <c r="C44" s="13" t="s">
        <v>46</v>
      </c>
      <c r="D44" s="13" t="s">
        <v>47</v>
      </c>
      <c r="E44" s="13" t="s">
        <v>48</v>
      </c>
      <c r="M44" s="46"/>
    </row>
    <row r="45" spans="2:13" x14ac:dyDescent="0.2">
      <c r="B45" s="12" t="s">
        <v>49</v>
      </c>
      <c r="C45" s="12"/>
      <c r="D45" s="12"/>
      <c r="E45" s="44">
        <f>E30*13*1.3</f>
        <v>422.5</v>
      </c>
    </row>
    <row r="46" spans="2:13" x14ac:dyDescent="0.2">
      <c r="B46" s="12" t="s">
        <v>50</v>
      </c>
      <c r="C46" s="43">
        <f>($E$25*70)+($E$26*90)+($E$27*60)</f>
        <v>1350</v>
      </c>
      <c r="D46" s="44">
        <f>$E$22</f>
        <v>151.2784</v>
      </c>
      <c r="E46" s="12"/>
    </row>
    <row r="47" spans="2:13" x14ac:dyDescent="0.2">
      <c r="B47" s="12" t="s">
        <v>51</v>
      </c>
      <c r="C47" s="43">
        <f t="shared" ref="C47:C50" si="0">($E$25*70)+($E$26*90)+($E$27*60)</f>
        <v>1350</v>
      </c>
      <c r="D47" s="44">
        <f t="shared" ref="D47:D50" si="1">$E$22</f>
        <v>151.2784</v>
      </c>
      <c r="E47" s="12"/>
    </row>
    <row r="48" spans="2:13" x14ac:dyDescent="0.2">
      <c r="B48" s="12" t="s">
        <v>52</v>
      </c>
      <c r="C48" s="43">
        <f t="shared" si="0"/>
        <v>1350</v>
      </c>
      <c r="D48" s="44">
        <f t="shared" si="1"/>
        <v>151.2784</v>
      </c>
      <c r="E48" s="12"/>
      <c r="I48" s="6"/>
      <c r="J48" s="6"/>
      <c r="K48" s="108"/>
      <c r="M48" s="86"/>
    </row>
    <row r="49" spans="2:13" x14ac:dyDescent="0.2">
      <c r="B49" s="12" t="s">
        <v>53</v>
      </c>
      <c r="C49" s="43">
        <f t="shared" si="0"/>
        <v>1350</v>
      </c>
      <c r="D49" s="44">
        <f t="shared" si="1"/>
        <v>151.2784</v>
      </c>
      <c r="E49" s="12"/>
      <c r="I49" s="6"/>
      <c r="J49" s="6"/>
      <c r="K49" s="108"/>
      <c r="M49" s="86"/>
    </row>
    <row r="50" spans="2:13" x14ac:dyDescent="0.2">
      <c r="B50" s="12" t="s">
        <v>54</v>
      </c>
      <c r="C50" s="43">
        <f t="shared" si="0"/>
        <v>1350</v>
      </c>
      <c r="D50" s="44">
        <f t="shared" si="1"/>
        <v>151.2784</v>
      </c>
      <c r="E50" s="12"/>
      <c r="I50" s="6"/>
      <c r="J50" s="6"/>
      <c r="K50" s="108"/>
      <c r="M50" s="86"/>
    </row>
    <row r="51" spans="2:13" x14ac:dyDescent="0.2">
      <c r="B51" s="12" t="s">
        <v>55</v>
      </c>
      <c r="C51" s="43"/>
      <c r="D51" s="44"/>
      <c r="E51" s="12"/>
      <c r="I51" s="6"/>
      <c r="J51" s="6"/>
      <c r="K51" s="108"/>
      <c r="M51" s="86"/>
    </row>
    <row r="52" spans="2:13" x14ac:dyDescent="0.2">
      <c r="B52" s="12" t="s">
        <v>56</v>
      </c>
      <c r="C52" s="43"/>
      <c r="D52" s="44"/>
      <c r="E52" s="12"/>
      <c r="G52" s="91" t="s">
        <v>239</v>
      </c>
      <c r="I52" s="6"/>
      <c r="J52" s="6"/>
      <c r="K52" s="108"/>
      <c r="M52" s="86"/>
    </row>
    <row r="53" spans="2:13" x14ac:dyDescent="0.2">
      <c r="B53" s="12" t="s">
        <v>57</v>
      </c>
      <c r="C53" s="43"/>
      <c r="D53" s="44"/>
      <c r="E53" s="12"/>
      <c r="G53" s="90">
        <f>C56+D56+E56</f>
        <v>7928.8919999999998</v>
      </c>
      <c r="I53" s="6"/>
      <c r="J53" s="6"/>
      <c r="K53" s="108"/>
      <c r="M53" s="86"/>
    </row>
    <row r="54" spans="2:13" x14ac:dyDescent="0.2">
      <c r="B54" s="12" t="s">
        <v>58</v>
      </c>
      <c r="C54" s="43"/>
      <c r="D54" s="44"/>
      <c r="E54" s="12"/>
      <c r="I54" s="6"/>
      <c r="J54" s="6"/>
      <c r="K54" s="108"/>
      <c r="M54" s="86"/>
    </row>
    <row r="55" spans="2:13" x14ac:dyDescent="0.2">
      <c r="B55" s="14" t="s">
        <v>59</v>
      </c>
      <c r="C55" s="43"/>
      <c r="D55" s="44"/>
      <c r="E55" s="14"/>
      <c r="G55" s="83" t="s">
        <v>62</v>
      </c>
      <c r="I55" s="6"/>
      <c r="J55" s="6"/>
      <c r="K55" s="108"/>
      <c r="M55" s="86"/>
    </row>
    <row r="56" spans="2:13" x14ac:dyDescent="0.2">
      <c r="B56" s="12" t="s">
        <v>25</v>
      </c>
      <c r="C56" s="63">
        <f>SUM(C45:C55)</f>
        <v>6750</v>
      </c>
      <c r="D56" s="63">
        <f t="shared" ref="D56:E56" si="2">SUM(D45:D55)</f>
        <v>756.39200000000005</v>
      </c>
      <c r="E56" s="64">
        <f t="shared" si="2"/>
        <v>422.5</v>
      </c>
      <c r="G56" s="83">
        <f>SUM(C56:D56)</f>
        <v>7506.3919999999998</v>
      </c>
      <c r="I56" s="6"/>
      <c r="J56" s="6"/>
      <c r="K56" s="108"/>
      <c r="M56" s="86"/>
    </row>
    <row r="57" spans="2:13" x14ac:dyDescent="0.2">
      <c r="I57" s="6"/>
      <c r="J57" s="6"/>
      <c r="K57" s="108"/>
      <c r="M57" s="86"/>
    </row>
    <row r="58" spans="2:13" x14ac:dyDescent="0.2">
      <c r="B58" s="16" t="s">
        <v>70</v>
      </c>
      <c r="C58" s="16"/>
      <c r="D58" s="16"/>
      <c r="E58" s="16"/>
    </row>
    <row r="60" spans="2:13" x14ac:dyDescent="0.2">
      <c r="B60" t="s">
        <v>108</v>
      </c>
      <c r="E60" s="58">
        <f>E41/C56</f>
        <v>37485.961908810074</v>
      </c>
    </row>
    <row r="61" spans="2:13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13" x14ac:dyDescent="0.2">
      <c r="B62" s="40" t="s">
        <v>128</v>
      </c>
      <c r="C62" s="40"/>
      <c r="D62" s="66">
        <v>1</v>
      </c>
      <c r="E62" s="53">
        <f>$E$60*70*D62</f>
        <v>2624017.3336167051</v>
      </c>
      <c r="G62" s="77">
        <v>1020000</v>
      </c>
    </row>
    <row r="63" spans="2:13" x14ac:dyDescent="0.2">
      <c r="B63" s="40" t="s">
        <v>110</v>
      </c>
      <c r="C63" s="40"/>
      <c r="D63" s="65">
        <v>1</v>
      </c>
      <c r="E63" s="53">
        <f>$E$60*60*D63</f>
        <v>2249157.7145286044</v>
      </c>
      <c r="G63" s="77">
        <v>2040000</v>
      </c>
    </row>
  </sheetData>
  <mergeCells count="4">
    <mergeCell ref="G31:G32"/>
    <mergeCell ref="G5:G6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N63"/>
  <sheetViews>
    <sheetView showGridLines="0" zoomScale="71" zoomScaleNormal="80" workbookViewId="0">
      <selection activeCell="E37" sqref="E37"/>
    </sheetView>
  </sheetViews>
  <sheetFormatPr baseColWidth="10" defaultRowHeight="16" x14ac:dyDescent="0.2"/>
  <cols>
    <col min="1" max="1" width="7.1640625" customWidth="1"/>
    <col min="2" max="2" width="24.33203125" customWidth="1"/>
    <col min="3" max="3" width="25.1640625" customWidth="1"/>
    <col min="4" max="4" width="8.83203125" customWidth="1"/>
    <col min="5" max="5" width="25.5" customWidth="1"/>
    <col min="6" max="6" width="7.1640625" customWidth="1"/>
    <col min="7" max="7" width="44.3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2" customWidth="1"/>
    <col min="14" max="14" width="18.83203125" customWidth="1"/>
  </cols>
  <sheetData>
    <row r="1" spans="1:7" x14ac:dyDescent="0.2">
      <c r="A1" s="40" t="s">
        <v>28</v>
      </c>
      <c r="B1" s="101" t="s">
        <v>254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151</v>
      </c>
      <c r="C2" s="40"/>
      <c r="D2" s="42" t="s">
        <v>255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155</v>
      </c>
      <c r="E5" s="2">
        <v>113.92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</v>
      </c>
    </row>
    <row r="8" spans="1:7" x14ac:dyDescent="0.2">
      <c r="B8" t="s">
        <v>93</v>
      </c>
      <c r="E8" s="2">
        <v>0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152</v>
      </c>
    </row>
    <row r="11" spans="1:7" x14ac:dyDescent="0.2">
      <c r="B11" t="s">
        <v>116</v>
      </c>
      <c r="E11" s="2"/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2.5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8" ht="13.5" customHeight="1" x14ac:dyDescent="0.2">
      <c r="B18" s="131" t="s">
        <v>119</v>
      </c>
      <c r="C18" s="131"/>
      <c r="E18" s="11">
        <v>75.209999999999994</v>
      </c>
      <c r="F18" t="s">
        <v>0</v>
      </c>
      <c r="G18" s="46"/>
    </row>
    <row r="19" spans="2:8" x14ac:dyDescent="0.2">
      <c r="B19" t="s">
        <v>94</v>
      </c>
      <c r="E19" s="75">
        <f>E5*(E7+E8)</f>
        <v>227.84</v>
      </c>
      <c r="F19" t="s">
        <v>0</v>
      </c>
    </row>
    <row r="20" spans="2:8" x14ac:dyDescent="0.2">
      <c r="B20" t="s">
        <v>39</v>
      </c>
      <c r="D20" s="11">
        <f>E19/E18</f>
        <v>3.0293843903736208</v>
      </c>
      <c r="E20" s="11">
        <v>3</v>
      </c>
      <c r="F20" t="s">
        <v>40</v>
      </c>
      <c r="G20" s="46"/>
    </row>
    <row r="21" spans="2:8" x14ac:dyDescent="0.2">
      <c r="B21" t="s">
        <v>101</v>
      </c>
      <c r="E21">
        <f>E20*3</f>
        <v>9</v>
      </c>
      <c r="F21" t="s">
        <v>34</v>
      </c>
      <c r="G21" s="46"/>
      <c r="H21" t="s">
        <v>106</v>
      </c>
    </row>
    <row r="22" spans="2:8" x14ac:dyDescent="0.2">
      <c r="B22" t="s">
        <v>61</v>
      </c>
      <c r="D22" s="4">
        <v>0.1</v>
      </c>
      <c r="E22" s="11">
        <f>E18*0.1</f>
        <v>7.5209999999999999</v>
      </c>
      <c r="F22" t="s">
        <v>0</v>
      </c>
      <c r="G22" s="59"/>
    </row>
    <row r="23" spans="2:8" ht="38.25" customHeight="1" x14ac:dyDescent="0.2">
      <c r="B23" s="130" t="s">
        <v>121</v>
      </c>
      <c r="C23" s="130"/>
      <c r="D23" s="49">
        <v>3</v>
      </c>
      <c r="E23" s="70">
        <f>E18-E22</f>
        <v>67.688999999999993</v>
      </c>
      <c r="F23" s="49" t="s">
        <v>0</v>
      </c>
      <c r="G23" s="46"/>
    </row>
    <row r="24" spans="2:8" ht="17" x14ac:dyDescent="0.2">
      <c r="B24" s="5"/>
      <c r="C24" s="5"/>
      <c r="E24" s="11"/>
      <c r="G24" s="87" t="s">
        <v>233</v>
      </c>
    </row>
    <row r="25" spans="2:8" x14ac:dyDescent="0.2">
      <c r="B25" t="s">
        <v>122</v>
      </c>
      <c r="D25" s="11">
        <f>E23/70</f>
        <v>0.96698571428571423</v>
      </c>
      <c r="E25">
        <v>0</v>
      </c>
      <c r="F25" s="80">
        <f>E25*$D$23</f>
        <v>0</v>
      </c>
      <c r="G25" s="86">
        <f>F25</f>
        <v>0</v>
      </c>
    </row>
    <row r="26" spans="2:8" x14ac:dyDescent="0.2">
      <c r="B26" t="s">
        <v>141</v>
      </c>
      <c r="D26" s="2"/>
      <c r="F26" s="80">
        <f>E26*$D$23</f>
        <v>0</v>
      </c>
      <c r="G26" s="86">
        <f>F26</f>
        <v>0</v>
      </c>
    </row>
    <row r="27" spans="2:8" x14ac:dyDescent="0.2">
      <c r="B27" t="s">
        <v>125</v>
      </c>
      <c r="D27" s="2"/>
      <c r="E27">
        <v>1</v>
      </c>
      <c r="F27" s="80">
        <f>E27*$D$23</f>
        <v>3</v>
      </c>
      <c r="G27" s="86">
        <f>F27</f>
        <v>3</v>
      </c>
    </row>
    <row r="29" spans="2:8" x14ac:dyDescent="0.2">
      <c r="B29" s="40" t="s">
        <v>123</v>
      </c>
      <c r="C29" s="40"/>
      <c r="D29" s="40"/>
      <c r="E29" s="93">
        <f>SUM(F25:F27)</f>
        <v>3</v>
      </c>
    </row>
    <row r="30" spans="2:8" x14ac:dyDescent="0.2">
      <c r="B30" t="s">
        <v>126</v>
      </c>
      <c r="D30" s="11">
        <f>E29*0.25</f>
        <v>0.75</v>
      </c>
      <c r="E30">
        <v>1</v>
      </c>
    </row>
    <row r="31" spans="2:8" x14ac:dyDescent="0.2">
      <c r="F31" s="40"/>
    </row>
    <row r="32" spans="2:8" x14ac:dyDescent="0.2">
      <c r="F32" s="40"/>
      <c r="G32" s="139"/>
    </row>
    <row r="33" spans="2:14" x14ac:dyDescent="0.2">
      <c r="B33" s="16" t="s">
        <v>64</v>
      </c>
      <c r="C33" s="16"/>
      <c r="D33" s="16"/>
      <c r="E33" s="16"/>
      <c r="F33" s="40"/>
      <c r="G33" s="139"/>
      <c r="H33" s="40"/>
      <c r="I33" s="40"/>
      <c r="J33" s="40"/>
      <c r="K33" s="40"/>
      <c r="L33" s="40"/>
      <c r="M33" s="40"/>
      <c r="N33" s="40"/>
    </row>
    <row r="34" spans="2:14" x14ac:dyDescent="0.2">
      <c r="B34" t="s">
        <v>28</v>
      </c>
      <c r="E34" s="62">
        <v>2599999</v>
      </c>
      <c r="F34" s="40"/>
      <c r="G34" s="40"/>
      <c r="H34" s="40"/>
    </row>
    <row r="35" spans="2:14" x14ac:dyDescent="0.2">
      <c r="B35" t="s">
        <v>107</v>
      </c>
      <c r="E35" s="8">
        <f>(E34-DATOS!L64)*DATOS!M64</f>
        <v>78724.364220000003</v>
      </c>
      <c r="F35" s="40"/>
      <c r="G35" s="40"/>
    </row>
    <row r="36" spans="2:14" x14ac:dyDescent="0.2">
      <c r="B36" t="s">
        <v>65</v>
      </c>
      <c r="E36" s="8">
        <f>G53*DATOS!H31</f>
        <v>3662749.6848000004</v>
      </c>
    </row>
    <row r="37" spans="2:14" x14ac:dyDescent="0.2">
      <c r="B37" t="s">
        <v>67</v>
      </c>
      <c r="E37" s="8">
        <f>E36*DATOS!B39</f>
        <v>293019.97478400002</v>
      </c>
      <c r="G37" s="40"/>
    </row>
    <row r="38" spans="2:14" x14ac:dyDescent="0.2">
      <c r="B38" t="s">
        <v>86</v>
      </c>
      <c r="E38" s="8">
        <f>E36*DATOS!B49</f>
        <v>256392.47793600004</v>
      </c>
    </row>
    <row r="39" spans="2:14" x14ac:dyDescent="0.2">
      <c r="B39" t="s">
        <v>68</v>
      </c>
      <c r="E39" s="8">
        <f>E36*DATOS!B83</f>
        <v>238078.72951200002</v>
      </c>
      <c r="G39" s="46"/>
    </row>
    <row r="40" spans="2:14" x14ac:dyDescent="0.2">
      <c r="B40" t="s">
        <v>129</v>
      </c>
      <c r="E40" s="8">
        <f>E36*DATOS!B91</f>
        <v>549412.45272000006</v>
      </c>
    </row>
    <row r="42" spans="2:14" x14ac:dyDescent="0.2">
      <c r="B42" s="54" t="s">
        <v>69</v>
      </c>
      <c r="C42" s="54"/>
      <c r="D42" s="54"/>
      <c r="E42" s="55">
        <f>SUM(E34:E40)</f>
        <v>7678376.6839720001</v>
      </c>
    </row>
    <row r="43" spans="2:14" x14ac:dyDescent="0.2">
      <c r="B43" s="40"/>
      <c r="C43" s="40" t="s">
        <v>120</v>
      </c>
    </row>
    <row r="44" spans="2:14" ht="85" x14ac:dyDescent="0.2">
      <c r="B44" s="12"/>
      <c r="C44" s="13" t="s">
        <v>46</v>
      </c>
      <c r="D44" s="13" t="s">
        <v>47</v>
      </c>
      <c r="E44" s="13" t="s">
        <v>48</v>
      </c>
    </row>
    <row r="45" spans="2:14" x14ac:dyDescent="0.2">
      <c r="B45" s="12" t="s">
        <v>49</v>
      </c>
      <c r="C45" s="12"/>
      <c r="D45" s="12"/>
      <c r="E45" s="44">
        <f>E30*13*1.3</f>
        <v>16.900000000000002</v>
      </c>
      <c r="M45" s="46"/>
    </row>
    <row r="46" spans="2:14" x14ac:dyDescent="0.2">
      <c r="B46" s="12" t="s">
        <v>50</v>
      </c>
      <c r="C46" s="43">
        <f>($E$25*70)+($E$26*90)+($E$27*60)</f>
        <v>60</v>
      </c>
      <c r="D46" s="44">
        <f>$E$22</f>
        <v>7.5209999999999999</v>
      </c>
      <c r="E46" s="12"/>
    </row>
    <row r="47" spans="2:14" x14ac:dyDescent="0.2">
      <c r="B47" s="12" t="s">
        <v>51</v>
      </c>
      <c r="C47" s="43">
        <f t="shared" ref="C47:C48" si="0">($E$25*70)+($E$26*90)+($E$27*60)</f>
        <v>60</v>
      </c>
      <c r="D47" s="44">
        <f t="shared" ref="D47:D48" si="1">$E$22</f>
        <v>7.5209999999999999</v>
      </c>
      <c r="E47" s="12"/>
    </row>
    <row r="48" spans="2:14" x14ac:dyDescent="0.2">
      <c r="B48" s="12" t="s">
        <v>52</v>
      </c>
      <c r="C48" s="43">
        <f t="shared" si="0"/>
        <v>60</v>
      </c>
      <c r="D48" s="44">
        <f t="shared" si="1"/>
        <v>7.5209999999999999</v>
      </c>
      <c r="E48" s="12"/>
    </row>
    <row r="49" spans="2:7" x14ac:dyDescent="0.2">
      <c r="B49" s="12" t="s">
        <v>53</v>
      </c>
      <c r="C49" s="43"/>
      <c r="D49" s="44"/>
      <c r="E49" s="12"/>
    </row>
    <row r="50" spans="2:7" x14ac:dyDescent="0.2">
      <c r="B50" s="12" t="s">
        <v>54</v>
      </c>
      <c r="C50" s="43"/>
      <c r="D50" s="44"/>
      <c r="E50" s="12"/>
    </row>
    <row r="51" spans="2:7" x14ac:dyDescent="0.2">
      <c r="B51" s="12" t="s">
        <v>55</v>
      </c>
      <c r="C51" s="43"/>
      <c r="D51" s="44"/>
      <c r="E51" s="12"/>
    </row>
    <row r="52" spans="2:7" x14ac:dyDescent="0.2">
      <c r="B52" s="12" t="s">
        <v>56</v>
      </c>
      <c r="C52" s="43"/>
      <c r="D52" s="44"/>
      <c r="E52" s="12"/>
      <c r="G52" s="91" t="s">
        <v>239</v>
      </c>
    </row>
    <row r="53" spans="2:7" x14ac:dyDescent="0.2">
      <c r="B53" s="12" t="s">
        <v>57</v>
      </c>
      <c r="C53" s="43"/>
      <c r="D53" s="44"/>
      <c r="E53" s="12"/>
      <c r="G53" s="90">
        <f>C56+D56+E56</f>
        <v>219.46299999999999</v>
      </c>
    </row>
    <row r="54" spans="2:7" x14ac:dyDescent="0.2">
      <c r="B54" s="12" t="s">
        <v>58</v>
      </c>
      <c r="C54" s="43"/>
      <c r="D54" s="44"/>
      <c r="E54" s="12"/>
    </row>
    <row r="55" spans="2:7" x14ac:dyDescent="0.2">
      <c r="B55" s="14" t="s">
        <v>59</v>
      </c>
      <c r="C55" s="43"/>
      <c r="D55" s="44"/>
      <c r="E55" s="14"/>
      <c r="G55" s="76" t="s">
        <v>62</v>
      </c>
    </row>
    <row r="56" spans="2:7" x14ac:dyDescent="0.2">
      <c r="B56" s="12" t="s">
        <v>25</v>
      </c>
      <c r="C56" s="63">
        <f>SUM(C45:C55)</f>
        <v>180</v>
      </c>
      <c r="D56" s="63">
        <f t="shared" ref="D56:E56" si="2">SUM(D45:D55)</f>
        <v>22.562999999999999</v>
      </c>
      <c r="E56" s="64">
        <f t="shared" si="2"/>
        <v>16.900000000000002</v>
      </c>
      <c r="G56" s="76">
        <f>SUM(C56:D56)</f>
        <v>202.56299999999999</v>
      </c>
    </row>
    <row r="58" spans="2:7" x14ac:dyDescent="0.2">
      <c r="B58" s="16" t="s">
        <v>70</v>
      </c>
      <c r="C58" s="16"/>
      <c r="D58" s="16"/>
      <c r="E58" s="16"/>
    </row>
    <row r="60" spans="2:7" x14ac:dyDescent="0.2">
      <c r="B60" t="s">
        <v>108</v>
      </c>
      <c r="E60" s="58">
        <f>E42/C56</f>
        <v>42657.648244288888</v>
      </c>
    </row>
    <row r="61" spans="2:7" x14ac:dyDescent="0.2">
      <c r="B61" s="40" t="s">
        <v>127</v>
      </c>
      <c r="C61" s="40"/>
      <c r="D61" s="65">
        <v>0</v>
      </c>
      <c r="E61" s="53">
        <f>$E$60*90*D61</f>
        <v>0</v>
      </c>
      <c r="G61" s="3" t="s">
        <v>223</v>
      </c>
    </row>
    <row r="62" spans="2:7" x14ac:dyDescent="0.2">
      <c r="B62" s="40" t="s">
        <v>128</v>
      </c>
      <c r="C62" s="40"/>
      <c r="D62" s="66"/>
      <c r="E62" s="53">
        <f>$E$60*70*D62</f>
        <v>0</v>
      </c>
      <c r="G62" s="77">
        <v>1020000</v>
      </c>
    </row>
    <row r="63" spans="2:7" x14ac:dyDescent="0.2">
      <c r="B63" s="40" t="s">
        <v>110</v>
      </c>
      <c r="C63" s="40"/>
      <c r="D63" s="65">
        <v>1</v>
      </c>
      <c r="E63" s="92">
        <f t="shared" ref="E63" si="3">$E$60*90*D63</f>
        <v>3839188.3419860001</v>
      </c>
      <c r="G63" s="77">
        <v>2040000</v>
      </c>
    </row>
  </sheetData>
  <mergeCells count="4">
    <mergeCell ref="G5:G6"/>
    <mergeCell ref="G32:G33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A1:N62"/>
  <sheetViews>
    <sheetView showGridLines="0" zoomScale="70" zoomScaleNormal="70" workbookViewId="0">
      <selection activeCell="H19" sqref="H19"/>
    </sheetView>
  </sheetViews>
  <sheetFormatPr baseColWidth="10" defaultRowHeight="16" x14ac:dyDescent="0.2"/>
  <cols>
    <col min="1" max="1" width="7.1640625" customWidth="1"/>
    <col min="2" max="2" width="22.33203125" customWidth="1"/>
    <col min="3" max="3" width="23.5" customWidth="1"/>
    <col min="4" max="4" width="8.83203125" customWidth="1"/>
    <col min="5" max="5" width="25.5" customWidth="1"/>
    <col min="7" max="7" width="34.6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.33203125" customWidth="1"/>
    <col min="14" max="14" width="18.83203125" customWidth="1"/>
  </cols>
  <sheetData>
    <row r="1" spans="1:7" x14ac:dyDescent="0.2">
      <c r="A1" s="40" t="s">
        <v>28</v>
      </c>
      <c r="B1" s="41" t="s">
        <v>256</v>
      </c>
      <c r="C1" s="41"/>
      <c r="D1" s="42" t="s">
        <v>92</v>
      </c>
    </row>
    <row r="2" spans="1:7" x14ac:dyDescent="0.2">
      <c r="B2" s="40" t="s">
        <v>156</v>
      </c>
      <c r="C2" s="40"/>
      <c r="D2" s="42" t="s">
        <v>255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275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2.4</v>
      </c>
    </row>
    <row r="8" spans="1:7" x14ac:dyDescent="0.2">
      <c r="B8" t="s">
        <v>93</v>
      </c>
      <c r="E8" s="2">
        <v>0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152</v>
      </c>
    </row>
    <row r="11" spans="1:7" x14ac:dyDescent="0.2">
      <c r="B11" t="s">
        <v>116</v>
      </c>
      <c r="E11" s="2" t="s">
        <v>157</v>
      </c>
      <c r="F11" t="s">
        <v>34</v>
      </c>
      <c r="G11" s="46"/>
    </row>
    <row r="12" spans="1:7" ht="34" x14ac:dyDescent="0.2">
      <c r="B12" t="s">
        <v>35</v>
      </c>
      <c r="E12" s="45" t="s">
        <v>159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18" customHeight="1" x14ac:dyDescent="0.2">
      <c r="B18" s="131" t="s">
        <v>119</v>
      </c>
      <c r="C18" s="131"/>
      <c r="E18" s="11">
        <f>E5*E6</f>
        <v>220</v>
      </c>
      <c r="F18" t="s">
        <v>0</v>
      </c>
      <c r="G18" s="46"/>
    </row>
    <row r="19" spans="2:14" x14ac:dyDescent="0.2">
      <c r="B19" t="s">
        <v>94</v>
      </c>
      <c r="E19" s="40">
        <f>E5*(E7+E8)</f>
        <v>660</v>
      </c>
      <c r="F19" t="s">
        <v>0</v>
      </c>
    </row>
    <row r="20" spans="2:14" x14ac:dyDescent="0.2">
      <c r="B20" t="s">
        <v>39</v>
      </c>
      <c r="D20" s="11">
        <f>E19/E18</f>
        <v>3</v>
      </c>
      <c r="E20" s="11">
        <f>D20</f>
        <v>3</v>
      </c>
      <c r="F20" t="s">
        <v>40</v>
      </c>
      <c r="G20" s="46"/>
    </row>
    <row r="21" spans="2:14" x14ac:dyDescent="0.2">
      <c r="B21" t="s">
        <v>101</v>
      </c>
      <c r="E21">
        <f>E20*3</f>
        <v>9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22</v>
      </c>
      <c r="F22" t="s">
        <v>0</v>
      </c>
      <c r="G22" s="59"/>
    </row>
    <row r="23" spans="2:14" ht="37.5" customHeight="1" x14ac:dyDescent="0.2">
      <c r="B23" s="130" t="s">
        <v>121</v>
      </c>
      <c r="C23" s="130"/>
      <c r="D23" s="49">
        <v>3</v>
      </c>
      <c r="E23" s="51">
        <f>E18-E22</f>
        <v>198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2.8285714285714287</v>
      </c>
      <c r="E25">
        <v>2</v>
      </c>
      <c r="F25" s="80">
        <f>E25*$D$23</f>
        <v>6</v>
      </c>
      <c r="G25" s="86">
        <f>F25</f>
        <v>6</v>
      </c>
    </row>
    <row r="26" spans="2:14" x14ac:dyDescent="0.2">
      <c r="B26" t="s">
        <v>141</v>
      </c>
      <c r="D26" s="2"/>
      <c r="F26" s="80">
        <f>E26*$D$23</f>
        <v>0</v>
      </c>
      <c r="G26" s="86">
        <f>F26</f>
        <v>0</v>
      </c>
    </row>
    <row r="27" spans="2:14" x14ac:dyDescent="0.2">
      <c r="B27" t="s">
        <v>125</v>
      </c>
      <c r="D27" s="2"/>
      <c r="E27">
        <v>1</v>
      </c>
      <c r="F27" s="80">
        <f>E27*$D$23</f>
        <v>3</v>
      </c>
      <c r="G27" s="86">
        <f>F27</f>
        <v>3</v>
      </c>
    </row>
    <row r="29" spans="2:14" x14ac:dyDescent="0.2">
      <c r="B29" s="40" t="s">
        <v>123</v>
      </c>
      <c r="C29" s="40"/>
      <c r="D29" s="40"/>
      <c r="E29" s="56">
        <f>SUM(F25:F27)</f>
        <v>9</v>
      </c>
    </row>
    <row r="30" spans="2:14" x14ac:dyDescent="0.2">
      <c r="B30" t="s">
        <v>126</v>
      </c>
      <c r="D30" s="11">
        <v>2.57</v>
      </c>
      <c r="E30">
        <v>3</v>
      </c>
    </row>
    <row r="32" spans="2:14" x14ac:dyDescent="0.2">
      <c r="B32" s="16" t="s">
        <v>64</v>
      </c>
      <c r="C32" s="16"/>
      <c r="D32" s="16"/>
      <c r="E32" s="16"/>
      <c r="F32" s="40"/>
      <c r="G32" s="136" t="s">
        <v>104</v>
      </c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62">
        <v>3000000</v>
      </c>
      <c r="F33" s="40"/>
      <c r="G33" s="136"/>
      <c r="H33" s="40"/>
    </row>
    <row r="34" spans="2:13" x14ac:dyDescent="0.2">
      <c r="B34" t="s">
        <v>107</v>
      </c>
      <c r="E34" s="8">
        <f>(E33-DATOS!L64)*DATOS!M64</f>
        <v>91124.395220000006</v>
      </c>
      <c r="F34" s="40"/>
      <c r="G34" s="40"/>
    </row>
    <row r="35" spans="2:13" x14ac:dyDescent="0.2">
      <c r="B35" t="s">
        <v>65</v>
      </c>
      <c r="E35" s="8">
        <f>G52*DATOS!H31</f>
        <v>11961436.320000002</v>
      </c>
    </row>
    <row r="36" spans="2:13" x14ac:dyDescent="0.2">
      <c r="B36" t="s">
        <v>67</v>
      </c>
      <c r="E36" s="8">
        <f>E35*DATOS!B39</f>
        <v>956914.90560000017</v>
      </c>
      <c r="G36" s="40"/>
    </row>
    <row r="37" spans="2:13" x14ac:dyDescent="0.2">
      <c r="B37" t="s">
        <v>86</v>
      </c>
      <c r="E37" s="8">
        <f>E35*DATOS!B49</f>
        <v>837300.54240000027</v>
      </c>
    </row>
    <row r="38" spans="2:13" x14ac:dyDescent="0.2">
      <c r="B38" t="s">
        <v>68</v>
      </c>
      <c r="E38" s="8">
        <f>E35*DATOS!B83</f>
        <v>777493.36080000014</v>
      </c>
      <c r="G38" s="46"/>
    </row>
    <row r="39" spans="2:13" x14ac:dyDescent="0.2">
      <c r="B39" t="s">
        <v>129</v>
      </c>
      <c r="E39" s="8">
        <f>E35*DATOS!B91</f>
        <v>1794215.4480000003</v>
      </c>
    </row>
    <row r="41" spans="2:13" x14ac:dyDescent="0.2">
      <c r="B41" s="54" t="s">
        <v>69</v>
      </c>
      <c r="C41" s="54"/>
      <c r="D41" s="67"/>
      <c r="E41" s="68">
        <f>SUM(E33:E39)</f>
        <v>19418484.972020004</v>
      </c>
    </row>
    <row r="42" spans="2:13" x14ac:dyDescent="0.2">
      <c r="B42" s="40"/>
      <c r="C42" s="40" t="s">
        <v>120</v>
      </c>
    </row>
    <row r="43" spans="2:13" ht="85" x14ac:dyDescent="0.2">
      <c r="B43" s="12"/>
      <c r="C43" s="13" t="s">
        <v>46</v>
      </c>
      <c r="D43" s="13" t="s">
        <v>47</v>
      </c>
      <c r="E43" s="13" t="s">
        <v>48</v>
      </c>
    </row>
    <row r="44" spans="2:13" x14ac:dyDescent="0.2">
      <c r="B44" s="12" t="s">
        <v>49</v>
      </c>
      <c r="C44" s="12"/>
      <c r="D44" s="12"/>
      <c r="E44" s="44">
        <f>E30*13*1.3</f>
        <v>50.7</v>
      </c>
      <c r="M44" s="46"/>
    </row>
    <row r="45" spans="2:13" x14ac:dyDescent="0.2">
      <c r="B45" s="12" t="s">
        <v>50</v>
      </c>
      <c r="C45" s="43">
        <f>($E$25*70)+($E$26*90)+($E$27*60)</f>
        <v>200</v>
      </c>
      <c r="D45" s="44">
        <f>$E$22</f>
        <v>22</v>
      </c>
      <c r="E45" s="12"/>
    </row>
    <row r="46" spans="2:13" x14ac:dyDescent="0.2">
      <c r="B46" s="12" t="s">
        <v>51</v>
      </c>
      <c r="C46" s="43">
        <f t="shared" ref="C46:C47" si="0">($E$25*70)+($E$26*90)+($E$27*60)</f>
        <v>200</v>
      </c>
      <c r="D46" s="44">
        <f t="shared" ref="D46:D47" si="1">$E$22</f>
        <v>22</v>
      </c>
      <c r="E46" s="12"/>
    </row>
    <row r="47" spans="2:13" x14ac:dyDescent="0.2">
      <c r="B47" s="12" t="s">
        <v>52</v>
      </c>
      <c r="C47" s="43">
        <f t="shared" si="0"/>
        <v>200</v>
      </c>
      <c r="D47" s="44">
        <f t="shared" si="1"/>
        <v>22</v>
      </c>
      <c r="E47" s="12"/>
    </row>
    <row r="48" spans="2:13" x14ac:dyDescent="0.2">
      <c r="B48" s="12" t="s">
        <v>53</v>
      </c>
      <c r="C48" s="43"/>
      <c r="D48" s="44"/>
      <c r="E48" s="12"/>
      <c r="I48" s="6"/>
      <c r="J48" s="6"/>
      <c r="K48" s="108"/>
      <c r="M48" s="86"/>
    </row>
    <row r="49" spans="2:13" x14ac:dyDescent="0.2">
      <c r="B49" s="12" t="s">
        <v>54</v>
      </c>
      <c r="C49" s="43"/>
      <c r="D49" s="44"/>
      <c r="E49" s="12"/>
      <c r="I49" s="6"/>
      <c r="J49" s="6"/>
      <c r="K49" s="108"/>
      <c r="M49" s="86"/>
    </row>
    <row r="50" spans="2:13" x14ac:dyDescent="0.2">
      <c r="B50" s="12" t="s">
        <v>55</v>
      </c>
      <c r="C50" s="43"/>
      <c r="D50" s="44"/>
      <c r="E50" s="12"/>
      <c r="I50" s="6"/>
      <c r="J50" s="6"/>
      <c r="K50" s="108"/>
      <c r="M50" s="86"/>
    </row>
    <row r="51" spans="2:13" x14ac:dyDescent="0.2">
      <c r="B51" s="12" t="s">
        <v>56</v>
      </c>
      <c r="C51" s="43"/>
      <c r="D51" s="44"/>
      <c r="E51" s="12"/>
      <c r="G51" s="91" t="s">
        <v>239</v>
      </c>
      <c r="I51" s="6"/>
      <c r="J51" s="6"/>
      <c r="K51" s="108"/>
      <c r="M51" s="86"/>
    </row>
    <row r="52" spans="2:13" x14ac:dyDescent="0.2">
      <c r="B52" s="12" t="s">
        <v>57</v>
      </c>
      <c r="C52" s="43"/>
      <c r="D52" s="44"/>
      <c r="E52" s="12"/>
      <c r="G52" s="90">
        <f>C55+D55+E55</f>
        <v>716.7</v>
      </c>
      <c r="I52" s="6"/>
      <c r="J52" s="6"/>
      <c r="K52" s="108"/>
      <c r="M52" s="86"/>
    </row>
    <row r="53" spans="2:13" x14ac:dyDescent="0.2">
      <c r="B53" s="12" t="s">
        <v>58</v>
      </c>
      <c r="C53" s="43"/>
      <c r="D53" s="44"/>
      <c r="E53" s="12"/>
      <c r="I53" s="6"/>
      <c r="J53" s="6"/>
      <c r="K53" s="108"/>
      <c r="M53" s="86"/>
    </row>
    <row r="54" spans="2:13" x14ac:dyDescent="0.2">
      <c r="B54" s="14" t="s">
        <v>59</v>
      </c>
      <c r="C54" s="43"/>
      <c r="D54" s="44"/>
      <c r="E54" s="14"/>
      <c r="G54" s="76" t="s">
        <v>62</v>
      </c>
      <c r="I54" s="6"/>
      <c r="J54" s="6"/>
      <c r="K54" s="108"/>
      <c r="M54" s="86"/>
    </row>
    <row r="55" spans="2:13" x14ac:dyDescent="0.2">
      <c r="B55" s="12" t="s">
        <v>25</v>
      </c>
      <c r="C55" s="63">
        <f>SUM(C44:C54)</f>
        <v>600</v>
      </c>
      <c r="D55" s="63">
        <f t="shared" ref="D55:E55" si="2">SUM(D44:D54)</f>
        <v>66</v>
      </c>
      <c r="E55" s="64">
        <f t="shared" si="2"/>
        <v>50.7</v>
      </c>
      <c r="G55" s="76">
        <f>SUM(C55:D55)</f>
        <v>666</v>
      </c>
      <c r="I55" s="6"/>
      <c r="J55" s="6"/>
      <c r="K55" s="108"/>
      <c r="M55" s="86"/>
    </row>
    <row r="56" spans="2:13" x14ac:dyDescent="0.2">
      <c r="I56" s="6"/>
      <c r="J56" s="6"/>
      <c r="K56" s="108"/>
      <c r="M56" s="86"/>
    </row>
    <row r="57" spans="2:13" x14ac:dyDescent="0.2">
      <c r="B57" s="16" t="s">
        <v>70</v>
      </c>
      <c r="C57" s="16"/>
      <c r="D57" s="16"/>
      <c r="E57" s="16"/>
    </row>
    <row r="59" spans="2:13" x14ac:dyDescent="0.2">
      <c r="B59" t="s">
        <v>108</v>
      </c>
      <c r="E59" s="58">
        <f>E41/C55</f>
        <v>32364.141620033341</v>
      </c>
    </row>
    <row r="60" spans="2:13" x14ac:dyDescent="0.2">
      <c r="B60" s="40" t="s">
        <v>127</v>
      </c>
      <c r="C60" s="40"/>
      <c r="D60" s="65">
        <v>0</v>
      </c>
      <c r="E60" s="53">
        <f>$E$59*90*D60</f>
        <v>0</v>
      </c>
      <c r="G60" s="3" t="s">
        <v>223</v>
      </c>
    </row>
    <row r="61" spans="2:13" x14ac:dyDescent="0.2">
      <c r="B61" s="40" t="s">
        <v>128</v>
      </c>
      <c r="C61" s="40"/>
      <c r="D61" s="66">
        <v>1</v>
      </c>
      <c r="E61" s="53">
        <f>$E$59*70*D61</f>
        <v>2265489.9134023339</v>
      </c>
      <c r="G61" s="77">
        <v>1020000</v>
      </c>
    </row>
    <row r="62" spans="2:13" x14ac:dyDescent="0.2">
      <c r="B62" s="40" t="s">
        <v>110</v>
      </c>
      <c r="C62" s="40"/>
      <c r="D62" s="65">
        <v>1</v>
      </c>
      <c r="E62" s="53">
        <f t="shared" ref="E62" si="3">$E$59*90*D62</f>
        <v>2912772.7458030009</v>
      </c>
      <c r="G62" s="77">
        <v>2040000</v>
      </c>
    </row>
  </sheetData>
  <mergeCells count="4">
    <mergeCell ref="G5:G6"/>
    <mergeCell ref="G32:G33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  <pageSetUpPr fitToPage="1"/>
  </sheetPr>
  <dimension ref="A1:O71"/>
  <sheetViews>
    <sheetView zoomScale="75" zoomScaleNormal="72" workbookViewId="0">
      <selection activeCell="B1" sqref="B1:G1"/>
    </sheetView>
  </sheetViews>
  <sheetFormatPr baseColWidth="10" defaultRowHeight="16" x14ac:dyDescent="0.2"/>
  <cols>
    <col min="1" max="1" width="7.1640625" customWidth="1"/>
    <col min="2" max="2" width="20.6640625" customWidth="1"/>
    <col min="3" max="3" width="27" customWidth="1"/>
    <col min="4" max="4" width="11.5" customWidth="1"/>
    <col min="5" max="5" width="21.33203125" customWidth="1"/>
    <col min="7" max="7" width="43.33203125" customWidth="1"/>
    <col min="8" max="8" width="37.6640625" customWidth="1"/>
    <col min="9" max="9" width="8" customWidth="1"/>
    <col min="11" max="11" width="16.83203125" customWidth="1"/>
    <col min="12" max="12" width="17.83203125" customWidth="1"/>
    <col min="13" max="13" width="18.33203125" customWidth="1"/>
    <col min="14" max="14" width="18.83203125" customWidth="1"/>
  </cols>
  <sheetData>
    <row r="1" spans="1:8" x14ac:dyDescent="0.2">
      <c r="A1" s="40" t="s">
        <v>28</v>
      </c>
      <c r="B1" s="101" t="s">
        <v>230</v>
      </c>
      <c r="C1" s="101"/>
      <c r="D1" s="102" t="s">
        <v>92</v>
      </c>
      <c r="E1" s="47"/>
      <c r="F1" s="47"/>
      <c r="G1" s="47"/>
    </row>
    <row r="2" spans="1:8" x14ac:dyDescent="0.2">
      <c r="B2" s="40" t="s">
        <v>29</v>
      </c>
      <c r="C2" s="40"/>
      <c r="D2" s="42" t="s">
        <v>228</v>
      </c>
    </row>
    <row r="4" spans="1:8" x14ac:dyDescent="0.2">
      <c r="B4" s="16" t="s">
        <v>63</v>
      </c>
      <c r="C4" s="16"/>
      <c r="D4" s="16"/>
      <c r="E4" s="16"/>
      <c r="F4" s="16"/>
      <c r="G4" s="16"/>
    </row>
    <row r="6" spans="1:8" ht="40" customHeight="1" x14ac:dyDescent="0.2">
      <c r="G6" s="85" t="s">
        <v>60</v>
      </c>
      <c r="H6" s="85"/>
    </row>
    <row r="7" spans="1:8" x14ac:dyDescent="0.2">
      <c r="B7" t="s">
        <v>111</v>
      </c>
      <c r="E7" s="2">
        <v>103.36</v>
      </c>
      <c r="F7" t="s">
        <v>0</v>
      </c>
    </row>
    <row r="8" spans="1:8" x14ac:dyDescent="0.2">
      <c r="B8" t="s">
        <v>30</v>
      </c>
      <c r="E8" s="2">
        <v>0.8</v>
      </c>
    </row>
    <row r="9" spans="1:8" x14ac:dyDescent="0.2">
      <c r="B9" t="s">
        <v>31</v>
      </c>
      <c r="E9" s="2">
        <v>3</v>
      </c>
    </row>
    <row r="10" spans="1:8" x14ac:dyDescent="0.2">
      <c r="B10" t="s">
        <v>93</v>
      </c>
      <c r="E10" s="2">
        <v>1</v>
      </c>
    </row>
    <row r="11" spans="1:8" x14ac:dyDescent="0.2">
      <c r="B11" t="s">
        <v>33</v>
      </c>
      <c r="E11" s="2">
        <v>21</v>
      </c>
      <c r="F11" t="s">
        <v>34</v>
      </c>
    </row>
    <row r="12" spans="1:8" x14ac:dyDescent="0.2">
      <c r="B12" t="s">
        <v>95</v>
      </c>
      <c r="E12" s="2" t="s">
        <v>32</v>
      </c>
    </row>
    <row r="13" spans="1:8" x14ac:dyDescent="0.2">
      <c r="B13" t="s">
        <v>116</v>
      </c>
      <c r="E13" s="2" t="s">
        <v>103</v>
      </c>
      <c r="F13" t="s">
        <v>34</v>
      </c>
    </row>
    <row r="14" spans="1:8" x14ac:dyDescent="0.2">
      <c r="B14" t="s">
        <v>35</v>
      </c>
      <c r="E14" s="2">
        <v>0</v>
      </c>
    </row>
    <row r="15" spans="1:8" x14ac:dyDescent="0.2">
      <c r="B15" t="s">
        <v>36</v>
      </c>
      <c r="E15">
        <v>0</v>
      </c>
      <c r="F15" t="s">
        <v>34</v>
      </c>
    </row>
    <row r="16" spans="1:8" x14ac:dyDescent="0.2">
      <c r="B16" t="s">
        <v>37</v>
      </c>
      <c r="E16">
        <v>0</v>
      </c>
      <c r="F16" t="s">
        <v>34</v>
      </c>
    </row>
    <row r="17" spans="2:15" x14ac:dyDescent="0.2">
      <c r="B17" t="s">
        <v>38</v>
      </c>
      <c r="E17">
        <v>3</v>
      </c>
      <c r="F17" t="s">
        <v>34</v>
      </c>
    </row>
    <row r="18" spans="2:15" x14ac:dyDescent="0.2">
      <c r="B18" t="s">
        <v>96</v>
      </c>
      <c r="E18" s="2" t="s">
        <v>97</v>
      </c>
    </row>
    <row r="20" spans="2:15" ht="32.25" customHeight="1" x14ac:dyDescent="0.2">
      <c r="B20" s="133" t="s">
        <v>119</v>
      </c>
      <c r="C20" s="133"/>
      <c r="E20" s="11">
        <f>E7*0.8</f>
        <v>82.688000000000002</v>
      </c>
      <c r="F20" t="s">
        <v>0</v>
      </c>
    </row>
    <row r="21" spans="2:15" x14ac:dyDescent="0.2">
      <c r="B21" t="s">
        <v>94</v>
      </c>
      <c r="E21">
        <f>E7*(E9+E10)</f>
        <v>413.44</v>
      </c>
      <c r="F21" t="s">
        <v>0</v>
      </c>
    </row>
    <row r="22" spans="2:15" x14ac:dyDescent="0.2">
      <c r="B22" t="s">
        <v>39</v>
      </c>
      <c r="D22" s="11">
        <f>E21/E20</f>
        <v>5</v>
      </c>
      <c r="E22" s="11">
        <f>D22</f>
        <v>5</v>
      </c>
      <c r="F22" t="s">
        <v>40</v>
      </c>
    </row>
    <row r="23" spans="2:15" x14ac:dyDescent="0.2">
      <c r="B23" t="s">
        <v>101</v>
      </c>
      <c r="E23">
        <f>E22*3</f>
        <v>15</v>
      </c>
      <c r="F23" t="s">
        <v>34</v>
      </c>
      <c r="H23" t="s">
        <v>99</v>
      </c>
    </row>
    <row r="24" spans="2:15" ht="39" customHeight="1" x14ac:dyDescent="0.2">
      <c r="B24" s="134" t="s">
        <v>102</v>
      </c>
      <c r="C24" s="134"/>
      <c r="D24" s="134"/>
      <c r="E24" s="105">
        <f>E20-(5*5)</f>
        <v>57.688000000000002</v>
      </c>
      <c r="F24" s="49" t="s">
        <v>0</v>
      </c>
    </row>
    <row r="26" spans="2:15" ht="34" x14ac:dyDescent="0.2">
      <c r="B26" s="135" t="s">
        <v>61</v>
      </c>
      <c r="C26" s="135"/>
      <c r="D26" s="4">
        <v>0.1</v>
      </c>
      <c r="E26" s="11">
        <v>10</v>
      </c>
      <c r="F26" t="s">
        <v>0</v>
      </c>
      <c r="G26" s="5"/>
      <c r="H26" s="5" t="s">
        <v>105</v>
      </c>
    </row>
    <row r="27" spans="2:15" ht="47.25" customHeight="1" x14ac:dyDescent="0.2">
      <c r="B27" s="130" t="s">
        <v>98</v>
      </c>
      <c r="C27" s="130"/>
      <c r="D27" s="48">
        <v>3</v>
      </c>
      <c r="E27" s="51">
        <f>E20-E26</f>
        <v>72.688000000000002</v>
      </c>
      <c r="F27" s="49" t="s">
        <v>0</v>
      </c>
      <c r="H27">
        <v>3</v>
      </c>
    </row>
    <row r="28" spans="2:15" ht="25" customHeight="1" x14ac:dyDescent="0.2">
      <c r="B28" t="s">
        <v>122</v>
      </c>
      <c r="D28">
        <f>E27/70</f>
        <v>1.0384</v>
      </c>
      <c r="E28">
        <v>1</v>
      </c>
      <c r="F28" s="80">
        <f>$D$27*E28</f>
        <v>3</v>
      </c>
      <c r="H28">
        <v>2</v>
      </c>
    </row>
    <row r="29" spans="2:15" x14ac:dyDescent="0.2">
      <c r="B29" t="s">
        <v>124</v>
      </c>
      <c r="D29">
        <f>E27/90</f>
        <v>0.8076444444444445</v>
      </c>
      <c r="F29" s="80">
        <f t="shared" ref="F29:F30" si="0">$D$27*E29</f>
        <v>0</v>
      </c>
    </row>
    <row r="30" spans="2:15" x14ac:dyDescent="0.2">
      <c r="B30" t="s">
        <v>125</v>
      </c>
      <c r="D30">
        <f>E27/60</f>
        <v>1.2114666666666667</v>
      </c>
      <c r="F30" s="80">
        <f t="shared" si="0"/>
        <v>0</v>
      </c>
    </row>
    <row r="31" spans="2:15" x14ac:dyDescent="0.2">
      <c r="G31" s="86"/>
    </row>
    <row r="32" spans="2:15" ht="35.25" customHeight="1" x14ac:dyDescent="0.2">
      <c r="B32" s="130" t="s">
        <v>100</v>
      </c>
      <c r="C32" s="130"/>
      <c r="D32" s="48">
        <v>2</v>
      </c>
      <c r="E32" s="51">
        <f>(E24-E26)</f>
        <v>47.688000000000002</v>
      </c>
      <c r="F32" s="49" t="s">
        <v>0</v>
      </c>
      <c r="G32" s="87" t="s">
        <v>233</v>
      </c>
    </row>
    <row r="33" spans="2:7" x14ac:dyDescent="0.2">
      <c r="B33" t="s">
        <v>122</v>
      </c>
      <c r="D33">
        <f>E32/70</f>
        <v>0.68125714285714289</v>
      </c>
      <c r="E33">
        <v>0.5</v>
      </c>
      <c r="F33" s="40">
        <f>$D$32*E33</f>
        <v>1</v>
      </c>
      <c r="G33" s="86">
        <f>F28+F33</f>
        <v>4</v>
      </c>
    </row>
    <row r="34" spans="2:7" x14ac:dyDescent="0.2">
      <c r="B34" t="s">
        <v>124</v>
      </c>
      <c r="D34">
        <f>E32/90</f>
        <v>0.52986666666666671</v>
      </c>
      <c r="F34" s="40">
        <f>$D$29*E34</f>
        <v>0</v>
      </c>
      <c r="G34" s="86">
        <f t="shared" ref="G34:G35" si="1">F29+F34</f>
        <v>0</v>
      </c>
    </row>
    <row r="35" spans="2:7" x14ac:dyDescent="0.2">
      <c r="B35" t="s">
        <v>125</v>
      </c>
      <c r="D35">
        <f>E32/60</f>
        <v>0.79480000000000006</v>
      </c>
      <c r="F35" s="40">
        <f>$D$29*E35</f>
        <v>0</v>
      </c>
      <c r="G35" s="86">
        <f t="shared" si="1"/>
        <v>0</v>
      </c>
    </row>
    <row r="36" spans="2:7" x14ac:dyDescent="0.2">
      <c r="F36" s="80"/>
      <c r="G36" s="86"/>
    </row>
    <row r="37" spans="2:7" x14ac:dyDescent="0.2">
      <c r="B37" s="40" t="s">
        <v>123</v>
      </c>
      <c r="C37" s="40"/>
      <c r="D37" s="40"/>
      <c r="E37" s="56">
        <f>SUM(G33:G35)</f>
        <v>4</v>
      </c>
    </row>
    <row r="38" spans="2:7" x14ac:dyDescent="0.2">
      <c r="B38" s="131" t="s">
        <v>126</v>
      </c>
      <c r="C38" s="131"/>
      <c r="D38">
        <f>E37*0.25</f>
        <v>1</v>
      </c>
      <c r="E38" s="11">
        <v>1</v>
      </c>
    </row>
    <row r="40" spans="2:7" x14ac:dyDescent="0.2">
      <c r="B40" s="16" t="s">
        <v>64</v>
      </c>
      <c r="C40" s="16"/>
      <c r="D40" s="16"/>
      <c r="E40" s="16"/>
      <c r="F40" s="16"/>
    </row>
    <row r="41" spans="2:7" x14ac:dyDescent="0.2">
      <c r="G41" s="132" t="s">
        <v>104</v>
      </c>
    </row>
    <row r="42" spans="2:7" x14ac:dyDescent="0.2">
      <c r="B42" t="s">
        <v>28</v>
      </c>
      <c r="E42" s="84">
        <v>4168000</v>
      </c>
      <c r="G42" s="132"/>
    </row>
    <row r="43" spans="2:7" x14ac:dyDescent="0.2">
      <c r="B43" t="s">
        <v>107</v>
      </c>
      <c r="E43" s="84">
        <f>(E42-DATOS!L65)*DATOS!M65</f>
        <v>130489.68832</v>
      </c>
    </row>
    <row r="44" spans="2:7" x14ac:dyDescent="0.2">
      <c r="B44" t="s">
        <v>65</v>
      </c>
      <c r="E44" s="84">
        <f>G62*DATOS!P25</f>
        <v>0</v>
      </c>
    </row>
    <row r="45" spans="2:7" x14ac:dyDescent="0.2">
      <c r="B45" t="s">
        <v>67</v>
      </c>
      <c r="E45" s="84">
        <f>E44*DATOS!B39</f>
        <v>0</v>
      </c>
    </row>
    <row r="46" spans="2:7" x14ac:dyDescent="0.2">
      <c r="B46" t="s">
        <v>86</v>
      </c>
      <c r="E46" s="84">
        <f>E44*DATOS!B49</f>
        <v>0</v>
      </c>
    </row>
    <row r="47" spans="2:7" x14ac:dyDescent="0.2">
      <c r="B47" t="s">
        <v>68</v>
      </c>
      <c r="E47" s="84">
        <f>E44*DATOS!B83</f>
        <v>0</v>
      </c>
    </row>
    <row r="48" spans="2:7" x14ac:dyDescent="0.2">
      <c r="B48" t="s">
        <v>87</v>
      </c>
      <c r="E48" s="84">
        <f>E44*DATOS!B91</f>
        <v>0</v>
      </c>
    </row>
    <row r="49" spans="2:7" x14ac:dyDescent="0.2">
      <c r="E49" s="84"/>
    </row>
    <row r="50" spans="2:7" x14ac:dyDescent="0.2">
      <c r="B50" s="54" t="s">
        <v>69</v>
      </c>
      <c r="C50" s="54"/>
      <c r="D50" s="54"/>
      <c r="E50" s="103">
        <f>SUM(E42:E48)</f>
        <v>4298489.6883199997</v>
      </c>
    </row>
    <row r="52" spans="2:7" x14ac:dyDescent="0.2">
      <c r="C52" s="40" t="s">
        <v>120</v>
      </c>
    </row>
    <row r="53" spans="2:7" ht="85" x14ac:dyDescent="0.2">
      <c r="B53" s="12"/>
      <c r="C53" s="104" t="s">
        <v>46</v>
      </c>
      <c r="D53" s="104" t="s">
        <v>47</v>
      </c>
      <c r="E53" s="104" t="s">
        <v>48</v>
      </c>
    </row>
    <row r="54" spans="2:7" x14ac:dyDescent="0.2">
      <c r="B54" s="12" t="s">
        <v>49</v>
      </c>
      <c r="C54" s="12"/>
      <c r="D54" s="12"/>
      <c r="E54" s="12">
        <f>E38*20*1.1</f>
        <v>22</v>
      </c>
    </row>
    <row r="55" spans="2:7" x14ac:dyDescent="0.2">
      <c r="B55" s="12" t="s">
        <v>50</v>
      </c>
      <c r="C55" s="43">
        <f>($E$30*60)+($E$28*70)+($E$29*90)</f>
        <v>70</v>
      </c>
      <c r="D55" s="44">
        <f>$E$26</f>
        <v>10</v>
      </c>
      <c r="E55" s="12"/>
    </row>
    <row r="56" spans="2:7" x14ac:dyDescent="0.2">
      <c r="B56" s="12" t="s">
        <v>51</v>
      </c>
      <c r="C56" s="43">
        <f t="shared" ref="C56:C57" si="2">($E$30*60)+($E$28*70)+($E$29*90)</f>
        <v>70</v>
      </c>
      <c r="D56" s="44">
        <f>$E$26</f>
        <v>10</v>
      </c>
      <c r="E56" s="12"/>
    </row>
    <row r="57" spans="2:7" x14ac:dyDescent="0.2">
      <c r="B57" s="12" t="s">
        <v>52</v>
      </c>
      <c r="C57" s="43">
        <f t="shared" si="2"/>
        <v>70</v>
      </c>
      <c r="D57" s="44">
        <f>$E$26</f>
        <v>10</v>
      </c>
      <c r="E57" s="12"/>
    </row>
    <row r="58" spans="2:7" x14ac:dyDescent="0.2">
      <c r="B58" s="12" t="s">
        <v>53</v>
      </c>
      <c r="C58" s="43">
        <f>($E$33*70)+($E$34*90)+($E$35*60)</f>
        <v>35</v>
      </c>
      <c r="D58" s="44">
        <f>$E$26</f>
        <v>10</v>
      </c>
      <c r="E58" s="12"/>
    </row>
    <row r="59" spans="2:7" x14ac:dyDescent="0.2">
      <c r="B59" s="12" t="s">
        <v>54</v>
      </c>
      <c r="C59" s="43">
        <f>($E$33*70)+($E$34*90)+($E$35*60)</f>
        <v>35</v>
      </c>
      <c r="D59" s="44">
        <f>$E$26</f>
        <v>10</v>
      </c>
      <c r="E59" s="12"/>
    </row>
    <row r="60" spans="2:7" x14ac:dyDescent="0.2">
      <c r="B60" s="12" t="s">
        <v>55</v>
      </c>
      <c r="C60" s="12"/>
      <c r="D60" s="12"/>
      <c r="E60" s="12"/>
    </row>
    <row r="61" spans="2:7" x14ac:dyDescent="0.2">
      <c r="B61" s="12" t="s">
        <v>56</v>
      </c>
      <c r="C61" s="12"/>
      <c r="D61" s="12"/>
      <c r="E61" s="12"/>
      <c r="G61" s="91" t="s">
        <v>239</v>
      </c>
    </row>
    <row r="62" spans="2:7" x14ac:dyDescent="0.2">
      <c r="B62" s="12" t="s">
        <v>57</v>
      </c>
      <c r="C62" s="12"/>
      <c r="D62" s="12"/>
      <c r="E62" s="12"/>
      <c r="G62" s="90">
        <f>C65+D65+E65</f>
        <v>352</v>
      </c>
    </row>
    <row r="63" spans="2:7" x14ac:dyDescent="0.2">
      <c r="B63" s="12" t="s">
        <v>58</v>
      </c>
      <c r="C63" s="12"/>
      <c r="D63" s="12"/>
      <c r="E63" s="12"/>
    </row>
    <row r="64" spans="2:7" x14ac:dyDescent="0.2">
      <c r="B64" s="14" t="s">
        <v>59</v>
      </c>
      <c r="C64" s="14"/>
      <c r="D64" s="14"/>
      <c r="E64" s="14"/>
      <c r="G64" s="83" t="s">
        <v>62</v>
      </c>
    </row>
    <row r="65" spans="2:7" x14ac:dyDescent="0.2">
      <c r="B65" s="106" t="s">
        <v>25</v>
      </c>
      <c r="C65" s="106">
        <f>SUM(C54:C64)</f>
        <v>280</v>
      </c>
      <c r="D65" s="106">
        <f t="shared" ref="D65" si="3">SUM(D54:D64)</f>
        <v>50</v>
      </c>
      <c r="E65" s="106">
        <f>SUM(E54:E64)</f>
        <v>22</v>
      </c>
      <c r="G65" s="83">
        <f>SUM(C65:D65)</f>
        <v>330</v>
      </c>
    </row>
    <row r="67" spans="2:7" x14ac:dyDescent="0.2">
      <c r="B67" s="16" t="s">
        <v>70</v>
      </c>
      <c r="C67" s="16"/>
      <c r="D67" s="16"/>
      <c r="E67" s="16"/>
      <c r="F67" s="16"/>
      <c r="G67" s="16"/>
    </row>
    <row r="69" spans="2:7" x14ac:dyDescent="0.2">
      <c r="B69" t="s">
        <v>108</v>
      </c>
      <c r="E69" s="84">
        <f>E50/C65</f>
        <v>15351.748886857142</v>
      </c>
      <c r="G69" s="35" t="s">
        <v>223</v>
      </c>
    </row>
    <row r="70" spans="2:7" x14ac:dyDescent="0.2">
      <c r="B70" s="40" t="s">
        <v>109</v>
      </c>
      <c r="E70" s="84"/>
      <c r="G70" s="109">
        <v>1020000</v>
      </c>
    </row>
    <row r="71" spans="2:7" x14ac:dyDescent="0.2">
      <c r="B71" s="40" t="s">
        <v>266</v>
      </c>
      <c r="E71" s="84">
        <f>E69*C55</f>
        <v>1074622.4220799999</v>
      </c>
      <c r="G71" s="109">
        <v>2040000</v>
      </c>
    </row>
  </sheetData>
  <mergeCells count="7">
    <mergeCell ref="B32:C32"/>
    <mergeCell ref="B38:C38"/>
    <mergeCell ref="G41:G42"/>
    <mergeCell ref="B20:C20"/>
    <mergeCell ref="B24:D24"/>
    <mergeCell ref="B26:C26"/>
    <mergeCell ref="B27:C27"/>
  </mergeCells>
  <phoneticPr fontId="4" type="noConversion"/>
  <pageMargins left="0.7" right="0.7" top="0.75" bottom="0.75" header="0.3" footer="0.3"/>
  <pageSetup scale="58" fitToWidth="0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</sheetPr>
  <dimension ref="A1:N62"/>
  <sheetViews>
    <sheetView showGridLines="0" zoomScale="70" zoomScaleNormal="70" workbookViewId="0">
      <selection activeCell="F28" sqref="F28"/>
    </sheetView>
  </sheetViews>
  <sheetFormatPr baseColWidth="10" defaultRowHeight="16" x14ac:dyDescent="0.2"/>
  <cols>
    <col min="1" max="1" width="7.1640625" customWidth="1"/>
    <col min="2" max="2" width="28.1640625" customWidth="1"/>
    <col min="3" max="3" width="23.6640625" customWidth="1"/>
    <col min="4" max="4" width="8.83203125" customWidth="1"/>
    <col min="5" max="5" width="25.5" customWidth="1"/>
    <col min="7" max="7" width="30.8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3" customWidth="1"/>
    <col min="14" max="14" width="18.83203125" customWidth="1"/>
  </cols>
  <sheetData>
    <row r="1" spans="1:7" x14ac:dyDescent="0.2">
      <c r="A1" s="40" t="s">
        <v>28</v>
      </c>
      <c r="B1" s="41" t="s">
        <v>257</v>
      </c>
      <c r="C1" s="41"/>
      <c r="D1" s="42" t="s">
        <v>92</v>
      </c>
    </row>
    <row r="2" spans="1:7" x14ac:dyDescent="0.2">
      <c r="B2" s="40" t="s">
        <v>158</v>
      </c>
      <c r="C2" s="40"/>
      <c r="D2" s="42" t="s">
        <v>255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250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2.4</v>
      </c>
    </row>
    <row r="8" spans="1:7" x14ac:dyDescent="0.2">
      <c r="B8" t="s">
        <v>93</v>
      </c>
      <c r="E8" s="2">
        <v>0.8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152</v>
      </c>
    </row>
    <row r="11" spans="1:7" x14ac:dyDescent="0.2">
      <c r="B11" t="s">
        <v>116</v>
      </c>
      <c r="E11" s="2"/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15" customHeight="1" x14ac:dyDescent="0.2">
      <c r="B18" s="131" t="s">
        <v>119</v>
      </c>
      <c r="C18" s="131"/>
      <c r="E18" s="11">
        <f>E5*E6</f>
        <v>200</v>
      </c>
      <c r="F18" t="s">
        <v>0</v>
      </c>
      <c r="G18" s="46"/>
    </row>
    <row r="19" spans="2:14" x14ac:dyDescent="0.2">
      <c r="B19" t="s">
        <v>94</v>
      </c>
      <c r="E19" s="40">
        <f>E5*(E7+E8)</f>
        <v>800</v>
      </c>
      <c r="F19" t="s">
        <v>0</v>
      </c>
    </row>
    <row r="20" spans="2:14" x14ac:dyDescent="0.2">
      <c r="B20" t="s">
        <v>39</v>
      </c>
      <c r="D20" s="11">
        <f>E19/E18</f>
        <v>4</v>
      </c>
      <c r="E20" s="11">
        <f>D20</f>
        <v>4</v>
      </c>
      <c r="F20" t="s">
        <v>40</v>
      </c>
      <c r="G20" s="46"/>
    </row>
    <row r="21" spans="2:14" x14ac:dyDescent="0.2">
      <c r="B21" t="s">
        <v>101</v>
      </c>
      <c r="E21">
        <f>E20*3</f>
        <v>12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20</v>
      </c>
      <c r="F22" t="s">
        <v>0</v>
      </c>
      <c r="G22" s="59"/>
    </row>
    <row r="23" spans="2:14" ht="32.25" customHeight="1" x14ac:dyDescent="0.2">
      <c r="B23" s="130" t="s">
        <v>121</v>
      </c>
      <c r="C23" s="130"/>
      <c r="D23" s="49">
        <v>4</v>
      </c>
      <c r="E23" s="51">
        <f>E18-E22</f>
        <v>180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2.5714285714285716</v>
      </c>
      <c r="F25" s="80">
        <f>E25*$D$23</f>
        <v>0</v>
      </c>
      <c r="G25" s="86">
        <f>F25+F29</f>
        <v>0</v>
      </c>
    </row>
    <row r="26" spans="2:14" x14ac:dyDescent="0.2">
      <c r="B26" t="s">
        <v>141</v>
      </c>
      <c r="D26" s="2"/>
      <c r="F26" s="80">
        <f>E26*$D$23</f>
        <v>0</v>
      </c>
      <c r="G26" s="86">
        <f>F26+F30</f>
        <v>0</v>
      </c>
    </row>
    <row r="27" spans="2:14" x14ac:dyDescent="0.2">
      <c r="B27" t="s">
        <v>125</v>
      </c>
      <c r="D27" s="2"/>
      <c r="E27">
        <v>3</v>
      </c>
      <c r="F27" s="80">
        <f>E27*$D$23</f>
        <v>12</v>
      </c>
      <c r="G27" s="86">
        <f>F27+F31</f>
        <v>12</v>
      </c>
    </row>
    <row r="29" spans="2:14" x14ac:dyDescent="0.2">
      <c r="B29" s="40" t="s">
        <v>123</v>
      </c>
      <c r="C29" s="40"/>
      <c r="D29" s="40"/>
      <c r="E29" s="56">
        <f>SUM(F25:F27)</f>
        <v>12</v>
      </c>
    </row>
    <row r="30" spans="2:14" x14ac:dyDescent="0.2">
      <c r="B30" t="s">
        <v>126</v>
      </c>
      <c r="E30" s="11">
        <f>E29*0.25</f>
        <v>3</v>
      </c>
    </row>
    <row r="31" spans="2:14" x14ac:dyDescent="0.2">
      <c r="F31" s="40"/>
    </row>
    <row r="32" spans="2:14" x14ac:dyDescent="0.2">
      <c r="B32" s="16" t="s">
        <v>64</v>
      </c>
      <c r="C32" s="16"/>
      <c r="D32" s="16"/>
      <c r="E32" s="16"/>
      <c r="F32" s="40"/>
      <c r="G32" s="136" t="s">
        <v>104</v>
      </c>
      <c r="H32" s="40"/>
      <c r="I32" s="40"/>
      <c r="J32" s="40"/>
      <c r="K32" s="40"/>
      <c r="L32" s="40"/>
      <c r="M32" s="40"/>
      <c r="N32" s="40"/>
    </row>
    <row r="33" spans="2:13" x14ac:dyDescent="0.2">
      <c r="B33" t="s">
        <v>28</v>
      </c>
      <c r="E33" s="8">
        <v>19000000</v>
      </c>
      <c r="F33" s="40"/>
      <c r="G33" s="136"/>
      <c r="H33" s="40"/>
    </row>
    <row r="34" spans="2:13" x14ac:dyDescent="0.2">
      <c r="B34" t="s">
        <v>107</v>
      </c>
      <c r="E34" s="8">
        <f>(E33-DATOS!L67)*DATOS!M67</f>
        <v>635464.14188000001</v>
      </c>
      <c r="F34" s="40"/>
      <c r="G34" s="40"/>
    </row>
    <row r="35" spans="2:13" x14ac:dyDescent="0.2">
      <c r="B35" t="s">
        <v>65</v>
      </c>
      <c r="E35" s="8">
        <f>G52*DATOS!H31</f>
        <v>14197842.720000003</v>
      </c>
    </row>
    <row r="36" spans="2:13" x14ac:dyDescent="0.2">
      <c r="B36" t="s">
        <v>67</v>
      </c>
      <c r="E36" s="8">
        <f>E35*DATOS!B39</f>
        <v>1135827.4176000003</v>
      </c>
      <c r="G36" s="40"/>
    </row>
    <row r="37" spans="2:13" x14ac:dyDescent="0.2">
      <c r="B37" t="s">
        <v>86</v>
      </c>
      <c r="E37" s="8">
        <f>E35*DATOS!B49</f>
        <v>993848.99040000024</v>
      </c>
    </row>
    <row r="38" spans="2:13" x14ac:dyDescent="0.2">
      <c r="B38" t="s">
        <v>68</v>
      </c>
      <c r="E38" s="8">
        <f>E35*DATOS!B83</f>
        <v>922859.77680000023</v>
      </c>
      <c r="G38" s="46"/>
    </row>
    <row r="39" spans="2:13" x14ac:dyDescent="0.2">
      <c r="B39" t="s">
        <v>129</v>
      </c>
      <c r="E39" s="8">
        <f>E35*DATOS!B91</f>
        <v>2129676.4080000003</v>
      </c>
    </row>
    <row r="41" spans="2:13" x14ac:dyDescent="0.2">
      <c r="B41" s="54" t="s">
        <v>69</v>
      </c>
      <c r="C41" s="54"/>
      <c r="D41" s="67"/>
      <c r="E41" s="68">
        <f>SUM(E33:E39)</f>
        <v>39015519.454680003</v>
      </c>
    </row>
    <row r="42" spans="2:13" x14ac:dyDescent="0.2">
      <c r="B42" s="40"/>
      <c r="C42" s="40" t="s">
        <v>120</v>
      </c>
    </row>
    <row r="43" spans="2:13" ht="85" x14ac:dyDescent="0.2">
      <c r="B43" s="12"/>
      <c r="C43" s="13" t="s">
        <v>46</v>
      </c>
      <c r="D43" s="13" t="s">
        <v>47</v>
      </c>
      <c r="E43" s="13" t="s">
        <v>48</v>
      </c>
    </row>
    <row r="44" spans="2:13" x14ac:dyDescent="0.2">
      <c r="B44" s="12" t="s">
        <v>49</v>
      </c>
      <c r="C44" s="12"/>
      <c r="D44" s="12"/>
      <c r="E44" s="44">
        <f>E30*13*1.3</f>
        <v>50.7</v>
      </c>
      <c r="M44" s="46"/>
    </row>
    <row r="45" spans="2:13" x14ac:dyDescent="0.2">
      <c r="B45" s="12" t="s">
        <v>50</v>
      </c>
      <c r="C45" s="43">
        <f>($E$25*70)+($E$26*90)+($E$27*60)</f>
        <v>180</v>
      </c>
      <c r="D45" s="44">
        <f>$E$22</f>
        <v>20</v>
      </c>
      <c r="E45" s="12"/>
    </row>
    <row r="46" spans="2:13" x14ac:dyDescent="0.2">
      <c r="B46" s="12" t="s">
        <v>51</v>
      </c>
      <c r="C46" s="43">
        <f t="shared" ref="C46:C48" si="0">($E$25*70)+($E$26*90)+($E$27*60)</f>
        <v>180</v>
      </c>
      <c r="D46" s="44">
        <f t="shared" ref="D46:D48" si="1">$E$22</f>
        <v>20</v>
      </c>
      <c r="E46" s="12"/>
    </row>
    <row r="47" spans="2:13" x14ac:dyDescent="0.2">
      <c r="B47" s="12" t="s">
        <v>52</v>
      </c>
      <c r="C47" s="43">
        <f t="shared" si="0"/>
        <v>180</v>
      </c>
      <c r="D47" s="44">
        <f t="shared" si="1"/>
        <v>20</v>
      </c>
      <c r="E47" s="12"/>
    </row>
    <row r="48" spans="2:13" x14ac:dyDescent="0.2">
      <c r="B48" s="12" t="s">
        <v>53</v>
      </c>
      <c r="C48" s="43">
        <f t="shared" si="0"/>
        <v>180</v>
      </c>
      <c r="D48" s="44">
        <f t="shared" si="1"/>
        <v>20</v>
      </c>
      <c r="E48" s="12"/>
      <c r="I48" s="6"/>
      <c r="J48" s="6"/>
      <c r="K48" s="108"/>
      <c r="M48" s="86"/>
    </row>
    <row r="49" spans="2:13" x14ac:dyDescent="0.2">
      <c r="B49" s="12" t="s">
        <v>54</v>
      </c>
      <c r="C49" s="43"/>
      <c r="D49" s="44"/>
      <c r="E49" s="12"/>
      <c r="I49" s="6"/>
      <c r="J49" s="6"/>
      <c r="K49" s="108"/>
      <c r="M49" s="86"/>
    </row>
    <row r="50" spans="2:13" x14ac:dyDescent="0.2">
      <c r="B50" s="12" t="s">
        <v>55</v>
      </c>
      <c r="C50" s="43"/>
      <c r="D50" s="44"/>
      <c r="E50" s="12"/>
      <c r="I50" s="6"/>
      <c r="J50" s="6"/>
      <c r="K50" s="108"/>
      <c r="M50" s="86"/>
    </row>
    <row r="51" spans="2:13" x14ac:dyDescent="0.2">
      <c r="B51" s="12" t="s">
        <v>56</v>
      </c>
      <c r="C51" s="43"/>
      <c r="D51" s="44"/>
      <c r="E51" s="12"/>
      <c r="G51" s="91" t="s">
        <v>239</v>
      </c>
      <c r="I51" s="6"/>
      <c r="J51" s="6"/>
      <c r="K51" s="108"/>
      <c r="M51" s="86"/>
    </row>
    <row r="52" spans="2:13" x14ac:dyDescent="0.2">
      <c r="B52" s="12" t="s">
        <v>57</v>
      </c>
      <c r="C52" s="43"/>
      <c r="D52" s="44"/>
      <c r="E52" s="12"/>
      <c r="G52" s="90">
        <f>C55+D55+E55</f>
        <v>850.7</v>
      </c>
      <c r="I52" s="6"/>
      <c r="J52" s="6"/>
      <c r="K52" s="108"/>
      <c r="M52" s="86"/>
    </row>
    <row r="53" spans="2:13" x14ac:dyDescent="0.2">
      <c r="B53" s="12" t="s">
        <v>58</v>
      </c>
      <c r="C53" s="43"/>
      <c r="D53" s="44"/>
      <c r="E53" s="12"/>
      <c r="I53" s="6"/>
      <c r="J53" s="6"/>
      <c r="K53" s="108"/>
      <c r="M53" s="86"/>
    </row>
    <row r="54" spans="2:13" x14ac:dyDescent="0.2">
      <c r="B54" s="14" t="s">
        <v>59</v>
      </c>
      <c r="C54" s="43"/>
      <c r="D54" s="44"/>
      <c r="E54" s="14"/>
      <c r="G54" s="76" t="s">
        <v>62</v>
      </c>
      <c r="I54" s="6"/>
      <c r="J54" s="6"/>
      <c r="K54" s="108"/>
      <c r="M54" s="86"/>
    </row>
    <row r="55" spans="2:13" x14ac:dyDescent="0.2">
      <c r="B55" s="12" t="s">
        <v>25</v>
      </c>
      <c r="C55" s="63">
        <f>SUM(C44:C54)</f>
        <v>720</v>
      </c>
      <c r="D55" s="63">
        <f t="shared" ref="D55:E55" si="2">SUM(D44:D54)</f>
        <v>80</v>
      </c>
      <c r="E55" s="64">
        <f t="shared" si="2"/>
        <v>50.7</v>
      </c>
      <c r="G55" s="76">
        <f>SUM(C55:D55)</f>
        <v>800</v>
      </c>
      <c r="I55" s="6"/>
      <c r="J55" s="6"/>
      <c r="K55" s="108"/>
      <c r="M55" s="86"/>
    </row>
    <row r="57" spans="2:13" x14ac:dyDescent="0.2">
      <c r="B57" s="16" t="s">
        <v>70</v>
      </c>
      <c r="C57" s="16"/>
      <c r="D57" s="16"/>
      <c r="E57" s="16"/>
    </row>
    <row r="59" spans="2:13" x14ac:dyDescent="0.2">
      <c r="B59" t="s">
        <v>108</v>
      </c>
      <c r="E59" s="58">
        <f>E41/C55</f>
        <v>54188.221464833339</v>
      </c>
    </row>
    <row r="60" spans="2:13" x14ac:dyDescent="0.2">
      <c r="B60" s="40" t="s">
        <v>127</v>
      </c>
      <c r="C60" s="40"/>
      <c r="D60" s="65">
        <v>0</v>
      </c>
      <c r="E60" s="53">
        <f>$E$59*90*D60</f>
        <v>0</v>
      </c>
      <c r="G60" s="3" t="s">
        <v>223</v>
      </c>
    </row>
    <row r="61" spans="2:13" x14ac:dyDescent="0.2">
      <c r="B61" s="40" t="s">
        <v>128</v>
      </c>
      <c r="C61" s="40"/>
      <c r="D61" s="66"/>
      <c r="E61" s="53">
        <f>$E$59*70*D61</f>
        <v>0</v>
      </c>
      <c r="G61" s="77">
        <v>1020000</v>
      </c>
    </row>
    <row r="62" spans="2:13" x14ac:dyDescent="0.2">
      <c r="B62" s="40" t="s">
        <v>110</v>
      </c>
      <c r="C62" s="40"/>
      <c r="D62" s="65">
        <v>1</v>
      </c>
      <c r="E62" s="53">
        <f t="shared" ref="E62" si="3">$E$59*90*D62</f>
        <v>4876939.9318350004</v>
      </c>
      <c r="G62" s="77">
        <v>2040000</v>
      </c>
    </row>
  </sheetData>
  <mergeCells count="4">
    <mergeCell ref="G5:G6"/>
    <mergeCell ref="G32:G33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19F69-7E67-461F-A978-035413106DB3}">
  <sheetPr>
    <tabColor theme="0" tint="-0.499984740745262"/>
  </sheetPr>
  <dimension ref="A1:O67"/>
  <sheetViews>
    <sheetView showGridLines="0" zoomScale="63" zoomScaleNormal="73" workbookViewId="0">
      <selection activeCell="G65" sqref="G65:G67"/>
    </sheetView>
  </sheetViews>
  <sheetFormatPr baseColWidth="10" defaultRowHeight="16" x14ac:dyDescent="0.2"/>
  <cols>
    <col min="1" max="1" width="7.1640625" customWidth="1"/>
    <col min="2" max="2" width="30.1640625" customWidth="1"/>
    <col min="3" max="3" width="28.33203125" customWidth="1"/>
    <col min="4" max="4" width="8.83203125" customWidth="1"/>
    <col min="5" max="5" width="25.5" customWidth="1"/>
    <col min="7" max="7" width="42.1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3.83203125" customWidth="1"/>
    <col min="14" max="14" width="18.83203125" customWidth="1"/>
  </cols>
  <sheetData>
    <row r="1" spans="1:7" x14ac:dyDescent="0.2">
      <c r="A1" s="40" t="s">
        <v>28</v>
      </c>
      <c r="B1" s="41" t="s">
        <v>260</v>
      </c>
      <c r="C1" s="41"/>
      <c r="D1" s="42" t="s">
        <v>92</v>
      </c>
    </row>
    <row r="2" spans="1:7" x14ac:dyDescent="0.2">
      <c r="B2" s="40" t="s">
        <v>207</v>
      </c>
      <c r="C2" s="40"/>
      <c r="D2" s="42" t="s">
        <v>258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1700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>
        <v>24</v>
      </c>
      <c r="F9" t="s">
        <v>34</v>
      </c>
    </row>
    <row r="10" spans="1:7" x14ac:dyDescent="0.2">
      <c r="B10" t="s">
        <v>95</v>
      </c>
      <c r="E10" s="2" t="s">
        <v>208</v>
      </c>
    </row>
    <row r="11" spans="1:7" x14ac:dyDescent="0.2">
      <c r="B11" t="s">
        <v>116</v>
      </c>
      <c r="E11" s="2" t="s">
        <v>209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196</v>
      </c>
    </row>
    <row r="18" spans="1:8" ht="18.75" customHeight="1" x14ac:dyDescent="0.2">
      <c r="B18" s="131" t="s">
        <v>119</v>
      </c>
      <c r="C18" s="131"/>
      <c r="E18" s="11">
        <f>E5*E6</f>
        <v>1360</v>
      </c>
      <c r="F18" t="s">
        <v>0</v>
      </c>
      <c r="G18" s="46"/>
    </row>
    <row r="19" spans="1:8" x14ac:dyDescent="0.2">
      <c r="B19" t="s">
        <v>94</v>
      </c>
      <c r="E19" s="40">
        <f>E5*(E7+E8)</f>
        <v>6800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H21" t="s">
        <v>106</v>
      </c>
    </row>
    <row r="22" spans="1:8" ht="34" customHeight="1" x14ac:dyDescent="0.2">
      <c r="B22" s="131" t="s">
        <v>102</v>
      </c>
      <c r="C22" s="131"/>
      <c r="E22" s="11">
        <f>E18-(5*14)</f>
        <v>1290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136</v>
      </c>
      <c r="F24" t="s">
        <v>0</v>
      </c>
    </row>
    <row r="25" spans="1:8" ht="33" customHeight="1" x14ac:dyDescent="0.2">
      <c r="B25" s="130" t="s">
        <v>178</v>
      </c>
      <c r="C25" s="130"/>
      <c r="D25" s="49">
        <v>4</v>
      </c>
      <c r="E25" s="51">
        <f>E18-E24</f>
        <v>1224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17.485714285714284</v>
      </c>
      <c r="E26">
        <v>17</v>
      </c>
      <c r="F26" s="80">
        <f>$D$25*E26</f>
        <v>68</v>
      </c>
      <c r="G26" s="86">
        <f>F26+F30</f>
        <v>68</v>
      </c>
    </row>
    <row r="27" spans="1:8" x14ac:dyDescent="0.2">
      <c r="A27" s="137"/>
      <c r="B27" t="s">
        <v>124</v>
      </c>
      <c r="D27" s="11">
        <f>E25/90</f>
        <v>13.6</v>
      </c>
      <c r="E27" s="2"/>
      <c r="F27" s="80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20.399999999999999</v>
      </c>
      <c r="E28" s="2"/>
      <c r="F28" s="80">
        <f>$D$25*E28</f>
        <v>0</v>
      </c>
      <c r="G28" s="86">
        <f>F28+F32</f>
        <v>19</v>
      </c>
    </row>
    <row r="29" spans="1:8" ht="19.5" customHeight="1" x14ac:dyDescent="0.2">
      <c r="A29" s="137"/>
      <c r="B29" s="140" t="s">
        <v>210</v>
      </c>
      <c r="C29" s="140"/>
      <c r="D29" s="72">
        <v>1</v>
      </c>
      <c r="E29" s="73">
        <f>E22-E24</f>
        <v>1154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16.485714285714284</v>
      </c>
      <c r="F30" s="80">
        <f>$D$29*E30</f>
        <v>0</v>
      </c>
    </row>
    <row r="31" spans="1:8" x14ac:dyDescent="0.2">
      <c r="B31" t="s">
        <v>124</v>
      </c>
      <c r="D31">
        <f>E29/90</f>
        <v>12.822222222222223</v>
      </c>
      <c r="F31" s="80">
        <f>$D$29*E31</f>
        <v>0</v>
      </c>
    </row>
    <row r="32" spans="1:8" x14ac:dyDescent="0.2">
      <c r="B32" t="s">
        <v>125</v>
      </c>
      <c r="D32">
        <f>E29/60</f>
        <v>19.233333333333334</v>
      </c>
      <c r="E32">
        <v>19</v>
      </c>
      <c r="F32" s="80">
        <f>$D$29*E32</f>
        <v>19</v>
      </c>
    </row>
    <row r="34" spans="2:15" x14ac:dyDescent="0.2">
      <c r="B34" s="40" t="s">
        <v>123</v>
      </c>
      <c r="C34" s="40"/>
      <c r="D34" s="40"/>
      <c r="E34" s="56">
        <f>SUM(G26:G28)</f>
        <v>87</v>
      </c>
    </row>
    <row r="35" spans="2:15" x14ac:dyDescent="0.2">
      <c r="B35" t="s">
        <v>126</v>
      </c>
      <c r="D35" s="11">
        <f>E34*0.25</f>
        <v>21.75</v>
      </c>
      <c r="E35">
        <v>22</v>
      </c>
    </row>
    <row r="37" spans="2:15" x14ac:dyDescent="0.2">
      <c r="B37" s="16" t="s">
        <v>64</v>
      </c>
      <c r="C37" s="16"/>
      <c r="D37" s="16"/>
      <c r="E37" s="16"/>
      <c r="F37" s="40"/>
      <c r="G37" s="139" t="s">
        <v>104</v>
      </c>
      <c r="H37" s="40"/>
      <c r="I37" s="40"/>
      <c r="J37" s="40"/>
      <c r="K37" s="40"/>
      <c r="L37" s="40"/>
      <c r="M37" s="40"/>
      <c r="N37" s="40"/>
      <c r="O37" s="40"/>
    </row>
    <row r="38" spans="2:15" x14ac:dyDescent="0.2">
      <c r="B38" t="s">
        <v>28</v>
      </c>
      <c r="E38" s="8">
        <v>16150000</v>
      </c>
      <c r="F38" s="40"/>
      <c r="G38" s="139"/>
      <c r="H38" s="40"/>
    </row>
    <row r="39" spans="2:15" x14ac:dyDescent="0.2">
      <c r="B39" t="s">
        <v>107</v>
      </c>
      <c r="E39" s="8">
        <f>(E38-DATOS!L67)*DATOS!M67</f>
        <v>538564.14188000001</v>
      </c>
      <c r="F39" s="40"/>
      <c r="G39" s="40"/>
    </row>
    <row r="40" spans="2:15" x14ac:dyDescent="0.2">
      <c r="B40" t="s">
        <v>65</v>
      </c>
      <c r="E40" s="8">
        <f>G57*DATOS!H31</f>
        <v>116022761.28000002</v>
      </c>
    </row>
    <row r="41" spans="2:15" x14ac:dyDescent="0.2">
      <c r="B41" t="s">
        <v>67</v>
      </c>
      <c r="E41" s="8">
        <f>E40*DATOS!B39</f>
        <v>9281820.9024000019</v>
      </c>
      <c r="G41" s="40"/>
    </row>
    <row r="42" spans="2:15" x14ac:dyDescent="0.2">
      <c r="B42" t="s">
        <v>86</v>
      </c>
      <c r="E42" s="8">
        <f>E40*DATOS!B49</f>
        <v>8121593.2896000016</v>
      </c>
    </row>
    <row r="43" spans="2:15" x14ac:dyDescent="0.2">
      <c r="B43" t="s">
        <v>68</v>
      </c>
      <c r="E43" s="8">
        <f>E40*DATOS!B83</f>
        <v>7541479.4832000015</v>
      </c>
      <c r="G43" s="46"/>
    </row>
    <row r="44" spans="2:15" x14ac:dyDescent="0.2">
      <c r="B44" t="s">
        <v>129</v>
      </c>
      <c r="E44" s="8">
        <f>E40*DATOS!B91</f>
        <v>17403414.192000002</v>
      </c>
    </row>
    <row r="46" spans="2:15" x14ac:dyDescent="0.2">
      <c r="B46" s="54" t="s">
        <v>69</v>
      </c>
      <c r="C46" s="54"/>
      <c r="D46" s="54"/>
      <c r="E46" s="55">
        <f>SUM(E38:E44)</f>
        <v>175059633.28908005</v>
      </c>
    </row>
    <row r="47" spans="2:15" x14ac:dyDescent="0.2">
      <c r="B47" s="40"/>
      <c r="C47" s="40" t="s">
        <v>120</v>
      </c>
    </row>
    <row r="48" spans="2:15" ht="85" x14ac:dyDescent="0.2">
      <c r="B48" s="12"/>
      <c r="C48" s="13" t="s">
        <v>46</v>
      </c>
      <c r="D48" s="13" t="s">
        <v>47</v>
      </c>
      <c r="E48" s="13" t="s">
        <v>48</v>
      </c>
    </row>
    <row r="49" spans="2:7" x14ac:dyDescent="0.2">
      <c r="B49" s="12" t="s">
        <v>49</v>
      </c>
      <c r="C49" s="12"/>
      <c r="D49" s="12"/>
      <c r="E49" s="44">
        <f>E35*13*1.3</f>
        <v>371.8</v>
      </c>
    </row>
    <row r="50" spans="2:7" x14ac:dyDescent="0.2">
      <c r="B50" s="12" t="s">
        <v>50</v>
      </c>
      <c r="C50" s="43">
        <f>($E$28*60)+($E$26*70)+($E$27*90)</f>
        <v>1190</v>
      </c>
      <c r="D50" s="44">
        <f>$E$24</f>
        <v>136</v>
      </c>
      <c r="E50" s="12"/>
    </row>
    <row r="51" spans="2:7" x14ac:dyDescent="0.2">
      <c r="B51" s="12" t="s">
        <v>51</v>
      </c>
      <c r="C51" s="43">
        <f t="shared" ref="C51:C53" si="0">($E$28*60)+($E$26*70)+($E$27*90)</f>
        <v>1190</v>
      </c>
      <c r="D51" s="44">
        <f>$E$24</f>
        <v>136</v>
      </c>
      <c r="E51" s="12"/>
    </row>
    <row r="52" spans="2:7" x14ac:dyDescent="0.2">
      <c r="B52" s="12" t="s">
        <v>52</v>
      </c>
      <c r="C52" s="43">
        <f t="shared" si="0"/>
        <v>1190</v>
      </c>
      <c r="D52" s="44">
        <f>$E$24</f>
        <v>136</v>
      </c>
      <c r="E52" s="12"/>
    </row>
    <row r="53" spans="2:7" x14ac:dyDescent="0.2">
      <c r="B53" s="12" t="s">
        <v>53</v>
      </c>
      <c r="C53" s="43">
        <f t="shared" si="0"/>
        <v>1190</v>
      </c>
      <c r="D53" s="44">
        <f>$E$24</f>
        <v>136</v>
      </c>
      <c r="E53" s="12"/>
    </row>
    <row r="54" spans="2:7" x14ac:dyDescent="0.2">
      <c r="B54" s="12" t="s">
        <v>54</v>
      </c>
      <c r="C54" s="43">
        <f>($E$30*70)+($E$31*90)+($E$32*60)</f>
        <v>1140</v>
      </c>
      <c r="D54" s="44">
        <f t="shared" ref="D54" si="1">$E$24</f>
        <v>136</v>
      </c>
      <c r="E54" s="12"/>
    </row>
    <row r="55" spans="2:7" x14ac:dyDescent="0.2">
      <c r="B55" s="12" t="s">
        <v>55</v>
      </c>
      <c r="C55" s="43"/>
      <c r="D55" s="44"/>
      <c r="E55" s="12"/>
    </row>
    <row r="56" spans="2:7" x14ac:dyDescent="0.2">
      <c r="B56" s="12" t="s">
        <v>56</v>
      </c>
      <c r="C56" s="43"/>
      <c r="D56" s="44"/>
      <c r="E56" s="12"/>
      <c r="G56" s="91" t="s">
        <v>239</v>
      </c>
    </row>
    <row r="57" spans="2:7" x14ac:dyDescent="0.2">
      <c r="B57" s="12" t="s">
        <v>57</v>
      </c>
      <c r="C57" s="43"/>
      <c r="D57" s="44"/>
      <c r="E57" s="12"/>
      <c r="G57" s="90">
        <f>C60+D60+E60</f>
        <v>6951.8</v>
      </c>
    </row>
    <row r="58" spans="2:7" x14ac:dyDescent="0.2">
      <c r="B58" s="12" t="s">
        <v>58</v>
      </c>
      <c r="C58" s="43"/>
      <c r="D58" s="44"/>
      <c r="E58" s="12"/>
    </row>
    <row r="59" spans="2:7" x14ac:dyDescent="0.2">
      <c r="B59" s="14" t="s">
        <v>59</v>
      </c>
      <c r="C59" s="43"/>
      <c r="D59" s="44"/>
      <c r="E59" s="14"/>
      <c r="G59" s="76" t="s">
        <v>62</v>
      </c>
    </row>
    <row r="60" spans="2:7" x14ac:dyDescent="0.2">
      <c r="B60" s="12" t="s">
        <v>25</v>
      </c>
      <c r="C60" s="63">
        <f>SUM(C49:C59)</f>
        <v>5900</v>
      </c>
      <c r="D60" s="63">
        <f t="shared" ref="D60:E60" si="2">SUM(D49:D59)</f>
        <v>680</v>
      </c>
      <c r="E60" s="64">
        <f t="shared" si="2"/>
        <v>371.8</v>
      </c>
      <c r="G60" s="76">
        <f>SUM(C60:D60)</f>
        <v>6580</v>
      </c>
    </row>
    <row r="62" spans="2:7" x14ac:dyDescent="0.2">
      <c r="B62" s="16" t="s">
        <v>70</v>
      </c>
      <c r="C62" s="16"/>
      <c r="D62" s="16"/>
      <c r="E62" s="16"/>
    </row>
    <row r="64" spans="2:7" x14ac:dyDescent="0.2">
      <c r="B64" t="s">
        <v>108</v>
      </c>
      <c r="E64" s="58">
        <f>E46/C60</f>
        <v>29671.124286284754</v>
      </c>
    </row>
    <row r="65" spans="2:7" x14ac:dyDescent="0.2">
      <c r="B65" s="40" t="s">
        <v>127</v>
      </c>
      <c r="C65" s="40"/>
      <c r="D65" s="40"/>
      <c r="E65" s="53">
        <f>E64*90*D65</f>
        <v>0</v>
      </c>
      <c r="G65" s="3" t="s">
        <v>223</v>
      </c>
    </row>
    <row r="66" spans="2:7" x14ac:dyDescent="0.2">
      <c r="B66" s="40" t="s">
        <v>128</v>
      </c>
      <c r="C66" s="40"/>
      <c r="D66" s="52">
        <v>1</v>
      </c>
      <c r="E66" s="53">
        <f>E64*70*D66</f>
        <v>2076978.7000399327</v>
      </c>
      <c r="G66" s="77">
        <v>1020000</v>
      </c>
    </row>
    <row r="67" spans="2:7" x14ac:dyDescent="0.2">
      <c r="B67" s="40" t="s">
        <v>110</v>
      </c>
      <c r="C67" s="40"/>
      <c r="D67" s="74">
        <v>1</v>
      </c>
      <c r="E67" s="78">
        <f>E64*60*D67</f>
        <v>1780267.4571770853</v>
      </c>
      <c r="G67" s="77">
        <v>2040000</v>
      </c>
    </row>
  </sheetData>
  <mergeCells count="7">
    <mergeCell ref="A27:A30"/>
    <mergeCell ref="G5:G6"/>
    <mergeCell ref="G37:G38"/>
    <mergeCell ref="B25:C25"/>
    <mergeCell ref="B29:C29"/>
    <mergeCell ref="B22:C22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2700-9E92-4C90-9F50-34B31A166757}">
  <sheetPr>
    <tabColor theme="7" tint="0.59999389629810485"/>
  </sheetPr>
  <dimension ref="A1:O67"/>
  <sheetViews>
    <sheetView showGridLines="0" zoomScale="60" zoomScaleNormal="60" workbookViewId="0">
      <selection activeCell="Q60" sqref="Q60"/>
    </sheetView>
  </sheetViews>
  <sheetFormatPr baseColWidth="10" defaultRowHeight="16" x14ac:dyDescent="0.2"/>
  <cols>
    <col min="1" max="1" width="7.1640625" customWidth="1"/>
    <col min="2" max="2" width="34.1640625" customWidth="1"/>
    <col min="3" max="3" width="28.6640625" customWidth="1"/>
    <col min="4" max="4" width="8.83203125" customWidth="1"/>
    <col min="5" max="5" width="25.5" customWidth="1"/>
    <col min="7" max="7" width="39.832031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.5" customWidth="1"/>
    <col min="14" max="14" width="18.83203125" customWidth="1"/>
  </cols>
  <sheetData>
    <row r="1" spans="1:8" x14ac:dyDescent="0.2">
      <c r="A1" s="40" t="s">
        <v>28</v>
      </c>
      <c r="B1" s="101" t="s">
        <v>259</v>
      </c>
      <c r="C1" s="101"/>
      <c r="D1" s="102" t="s">
        <v>92</v>
      </c>
      <c r="E1" s="47"/>
      <c r="F1" s="47"/>
      <c r="G1" s="47"/>
    </row>
    <row r="2" spans="1:8" x14ac:dyDescent="0.2">
      <c r="B2" s="40" t="s">
        <v>211</v>
      </c>
      <c r="C2" s="40"/>
      <c r="D2" s="42" t="s">
        <v>258</v>
      </c>
    </row>
    <row r="3" spans="1:8" x14ac:dyDescent="0.2">
      <c r="B3" s="40"/>
      <c r="C3" s="40"/>
    </row>
    <row r="4" spans="1:8" x14ac:dyDescent="0.2">
      <c r="B4" s="16" t="s">
        <v>63</v>
      </c>
      <c r="C4" s="16"/>
      <c r="D4" s="16"/>
      <c r="E4" s="16"/>
      <c r="F4" s="16"/>
      <c r="G4" s="16"/>
    </row>
    <row r="5" spans="1:8" x14ac:dyDescent="0.2">
      <c r="B5" t="s">
        <v>111</v>
      </c>
      <c r="E5" s="2">
        <v>1695</v>
      </c>
      <c r="F5" t="s">
        <v>0</v>
      </c>
      <c r="G5" s="136" t="s">
        <v>60</v>
      </c>
      <c r="H5" s="137"/>
    </row>
    <row r="6" spans="1:8" x14ac:dyDescent="0.2">
      <c r="B6" t="s">
        <v>30</v>
      </c>
      <c r="E6" s="2">
        <v>0.8</v>
      </c>
      <c r="G6" s="136"/>
      <c r="H6" s="137"/>
    </row>
    <row r="7" spans="1:8" x14ac:dyDescent="0.2">
      <c r="B7" t="s">
        <v>31</v>
      </c>
      <c r="E7" s="2">
        <v>3</v>
      </c>
    </row>
    <row r="8" spans="1:8" x14ac:dyDescent="0.2">
      <c r="B8" t="s">
        <v>93</v>
      </c>
      <c r="E8" s="2">
        <v>1</v>
      </c>
    </row>
    <row r="9" spans="1:8" x14ac:dyDescent="0.2">
      <c r="B9" t="s">
        <v>33</v>
      </c>
      <c r="E9" s="2">
        <v>24</v>
      </c>
      <c r="F9" t="s">
        <v>34</v>
      </c>
    </row>
    <row r="10" spans="1:8" x14ac:dyDescent="0.2">
      <c r="B10" t="s">
        <v>95</v>
      </c>
      <c r="E10" s="2" t="s">
        <v>208</v>
      </c>
    </row>
    <row r="11" spans="1:8" x14ac:dyDescent="0.2">
      <c r="B11" t="s">
        <v>116</v>
      </c>
      <c r="E11" s="2" t="s">
        <v>212</v>
      </c>
      <c r="F11" t="s">
        <v>34</v>
      </c>
      <c r="G11" s="46"/>
    </row>
    <row r="12" spans="1:8" ht="34" x14ac:dyDescent="0.2">
      <c r="B12" t="s">
        <v>35</v>
      </c>
      <c r="E12" s="45" t="s">
        <v>117</v>
      </c>
      <c r="G12" s="46"/>
    </row>
    <row r="13" spans="1:8" x14ac:dyDescent="0.2">
      <c r="B13" t="s">
        <v>36</v>
      </c>
      <c r="E13">
        <v>0</v>
      </c>
      <c r="F13" t="s">
        <v>34</v>
      </c>
    </row>
    <row r="14" spans="1:8" x14ac:dyDescent="0.2">
      <c r="B14" t="s">
        <v>37</v>
      </c>
      <c r="E14">
        <v>0</v>
      </c>
      <c r="F14" t="s">
        <v>34</v>
      </c>
    </row>
    <row r="15" spans="1:8" x14ac:dyDescent="0.2">
      <c r="B15" t="s">
        <v>38</v>
      </c>
      <c r="E15">
        <v>3</v>
      </c>
      <c r="F15" t="s">
        <v>34</v>
      </c>
    </row>
    <row r="16" spans="1:8" x14ac:dyDescent="0.2">
      <c r="B16" t="s">
        <v>96</v>
      </c>
      <c r="E16" s="2" t="s">
        <v>196</v>
      </c>
    </row>
    <row r="18" spans="1:8" ht="18" customHeight="1" x14ac:dyDescent="0.2">
      <c r="B18" s="131" t="s">
        <v>119</v>
      </c>
      <c r="C18" s="131"/>
      <c r="E18" s="11">
        <f>E5*E6</f>
        <v>1356</v>
      </c>
      <c r="F18" t="s">
        <v>0</v>
      </c>
      <c r="G18" s="46"/>
    </row>
    <row r="19" spans="1:8" x14ac:dyDescent="0.2">
      <c r="B19" t="s">
        <v>94</v>
      </c>
      <c r="E19" s="75">
        <f>E5*(E7+E8)</f>
        <v>6780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H21" t="s">
        <v>106</v>
      </c>
    </row>
    <row r="22" spans="1:8" ht="34" customHeight="1" x14ac:dyDescent="0.2">
      <c r="B22" s="5" t="s">
        <v>102</v>
      </c>
      <c r="C22" s="5"/>
      <c r="E22" s="11">
        <f>E18-(5*30)</f>
        <v>1206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135.6</v>
      </c>
      <c r="F24" t="s">
        <v>0</v>
      </c>
    </row>
    <row r="25" spans="1:8" ht="31.5" customHeight="1" x14ac:dyDescent="0.2">
      <c r="B25" s="130" t="s">
        <v>178</v>
      </c>
      <c r="C25" s="130"/>
      <c r="D25" s="49">
        <v>4</v>
      </c>
      <c r="E25" s="51">
        <f>E18-E24</f>
        <v>1220.4000000000001</v>
      </c>
      <c r="F25" s="49" t="s">
        <v>0</v>
      </c>
      <c r="G25" s="85" t="s">
        <v>233</v>
      </c>
    </row>
    <row r="26" spans="1:8" x14ac:dyDescent="0.2">
      <c r="B26" t="s">
        <v>122</v>
      </c>
      <c r="D26" s="11">
        <f>E25/70</f>
        <v>17.434285714285714</v>
      </c>
      <c r="E26">
        <v>17</v>
      </c>
      <c r="F26" s="80">
        <f>$D$25*E26</f>
        <v>68</v>
      </c>
      <c r="G26" s="86">
        <f>F26+F30</f>
        <v>68</v>
      </c>
    </row>
    <row r="27" spans="1:8" x14ac:dyDescent="0.2">
      <c r="A27" s="137"/>
      <c r="B27" t="s">
        <v>124</v>
      </c>
      <c r="D27" s="11">
        <f>E25/90</f>
        <v>13.56</v>
      </c>
      <c r="E27" s="2"/>
      <c r="F27" s="80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20.34</v>
      </c>
      <c r="E28" s="2"/>
      <c r="F28" s="80">
        <f>$D$25*E28</f>
        <v>0</v>
      </c>
      <c r="G28" s="86">
        <f>F28+F32</f>
        <v>17</v>
      </c>
    </row>
    <row r="29" spans="1:8" ht="18" customHeight="1" x14ac:dyDescent="0.2">
      <c r="A29" s="137"/>
      <c r="B29" s="140" t="s">
        <v>210</v>
      </c>
      <c r="C29" s="140"/>
      <c r="D29" s="72">
        <v>1</v>
      </c>
      <c r="E29" s="73">
        <f>E22-E24</f>
        <v>1070.4000000000001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15.291428571428574</v>
      </c>
      <c r="F30" s="80">
        <f>$D$29*E30</f>
        <v>0</v>
      </c>
    </row>
    <row r="31" spans="1:8" x14ac:dyDescent="0.2">
      <c r="B31" t="s">
        <v>124</v>
      </c>
      <c r="D31">
        <f>E29/90</f>
        <v>11.893333333333334</v>
      </c>
      <c r="F31" s="80">
        <f>$D$29*E31</f>
        <v>0</v>
      </c>
    </row>
    <row r="32" spans="1:8" x14ac:dyDescent="0.2">
      <c r="B32" t="s">
        <v>125</v>
      </c>
      <c r="D32">
        <f>E29/60</f>
        <v>17.84</v>
      </c>
      <c r="E32">
        <v>17</v>
      </c>
      <c r="F32" s="80">
        <f>$D$29*E32</f>
        <v>17</v>
      </c>
    </row>
    <row r="34" spans="2:15" x14ac:dyDescent="0.2">
      <c r="B34" s="40" t="s">
        <v>123</v>
      </c>
      <c r="C34" s="40"/>
      <c r="D34" s="40"/>
      <c r="E34" s="56">
        <f>SUM(G26:G28)</f>
        <v>85</v>
      </c>
    </row>
    <row r="35" spans="2:15" x14ac:dyDescent="0.2">
      <c r="B35" t="s">
        <v>126</v>
      </c>
      <c r="E35" s="11">
        <f>E34*0.25</f>
        <v>21.25</v>
      </c>
      <c r="F35">
        <v>20</v>
      </c>
    </row>
    <row r="37" spans="2:15" x14ac:dyDescent="0.2">
      <c r="B37" s="16" t="s">
        <v>64</v>
      </c>
      <c r="C37" s="16"/>
      <c r="D37" s="16"/>
      <c r="E37" s="16"/>
      <c r="F37" s="40"/>
      <c r="G37" s="139" t="s">
        <v>104</v>
      </c>
      <c r="H37" s="40"/>
      <c r="I37" s="40"/>
      <c r="J37" s="40"/>
      <c r="K37" s="40"/>
      <c r="L37" s="40"/>
      <c r="M37" s="40"/>
      <c r="N37" s="40"/>
      <c r="O37" s="40"/>
    </row>
    <row r="38" spans="2:15" x14ac:dyDescent="0.2">
      <c r="B38" t="s">
        <v>28</v>
      </c>
      <c r="E38" s="8">
        <v>28000000</v>
      </c>
      <c r="F38" s="40"/>
      <c r="G38" s="139"/>
      <c r="H38" s="40"/>
    </row>
    <row r="39" spans="2:15" x14ac:dyDescent="0.2">
      <c r="B39" t="s">
        <v>107</v>
      </c>
      <c r="E39" s="8">
        <f>(E38-DATOS!L67)*DATOS!M67</f>
        <v>941464.14188000013</v>
      </c>
      <c r="F39" s="40"/>
      <c r="G39" s="40"/>
    </row>
    <row r="40" spans="2:15" x14ac:dyDescent="0.2">
      <c r="B40" t="s">
        <v>65</v>
      </c>
      <c r="E40" s="8">
        <f>G57*DATOS!H31</f>
        <v>113775089.40000002</v>
      </c>
    </row>
    <row r="41" spans="2:15" x14ac:dyDescent="0.2">
      <c r="B41" t="s">
        <v>67</v>
      </c>
      <c r="E41" s="8">
        <f>E40*DATOS!B39</f>
        <v>9102007.1520000026</v>
      </c>
      <c r="G41" s="40"/>
    </row>
    <row r="42" spans="2:15" x14ac:dyDescent="0.2">
      <c r="B42" t="s">
        <v>86</v>
      </c>
      <c r="E42" s="8">
        <f>E40*DATOS!B49</f>
        <v>7964256.2580000022</v>
      </c>
    </row>
    <row r="43" spans="2:15" x14ac:dyDescent="0.2">
      <c r="B43" t="s">
        <v>68</v>
      </c>
      <c r="E43" s="8">
        <f>E40*DATOS!B83</f>
        <v>7395380.8110000016</v>
      </c>
      <c r="G43" s="46"/>
    </row>
    <row r="44" spans="2:15" x14ac:dyDescent="0.2">
      <c r="B44" t="s">
        <v>129</v>
      </c>
      <c r="E44" s="8">
        <f>E40*DATOS!B91</f>
        <v>17066263.410000004</v>
      </c>
    </row>
    <row r="46" spans="2:15" x14ac:dyDescent="0.2">
      <c r="B46" s="54" t="s">
        <v>69</v>
      </c>
      <c r="C46" s="54"/>
      <c r="D46" s="54"/>
      <c r="E46" s="55">
        <f>SUM(E38:E44)</f>
        <v>184244461.17288002</v>
      </c>
    </row>
    <row r="47" spans="2:15" x14ac:dyDescent="0.2">
      <c r="B47" s="40"/>
      <c r="C47" s="40" t="s">
        <v>120</v>
      </c>
    </row>
    <row r="48" spans="2:15" ht="85" x14ac:dyDescent="0.2">
      <c r="B48" s="12"/>
      <c r="C48" s="13" t="s">
        <v>46</v>
      </c>
      <c r="D48" s="13" t="s">
        <v>47</v>
      </c>
      <c r="E48" s="13" t="s">
        <v>48</v>
      </c>
    </row>
    <row r="49" spans="2:11" x14ac:dyDescent="0.2">
      <c r="B49" s="12" t="s">
        <v>49</v>
      </c>
      <c r="C49" s="12"/>
      <c r="D49" s="12"/>
      <c r="E49" s="44">
        <f>E35*13*1.3</f>
        <v>359.125</v>
      </c>
    </row>
    <row r="50" spans="2:11" x14ac:dyDescent="0.2">
      <c r="B50" s="12" t="s">
        <v>50</v>
      </c>
      <c r="C50" s="43">
        <f>($E$28*60)+($E$26*70)+($E$27*90)</f>
        <v>1190</v>
      </c>
      <c r="D50" s="44">
        <f>$E$24</f>
        <v>135.6</v>
      </c>
      <c r="E50" s="12"/>
    </row>
    <row r="51" spans="2:11" x14ac:dyDescent="0.2">
      <c r="B51" s="12" t="s">
        <v>51</v>
      </c>
      <c r="C51" s="43">
        <f t="shared" ref="C51:C53" si="0">($E$28*60)+($E$26*70)+($E$27*90)</f>
        <v>1190</v>
      </c>
      <c r="D51" s="44">
        <f>$E$24</f>
        <v>135.6</v>
      </c>
      <c r="E51" s="12"/>
    </row>
    <row r="52" spans="2:11" x14ac:dyDescent="0.2">
      <c r="B52" s="12" t="s">
        <v>52</v>
      </c>
      <c r="C52" s="43">
        <f t="shared" si="0"/>
        <v>1190</v>
      </c>
      <c r="D52" s="44">
        <f>$E$24</f>
        <v>135.6</v>
      </c>
      <c r="E52" s="12"/>
    </row>
    <row r="53" spans="2:11" x14ac:dyDescent="0.2">
      <c r="B53" s="12" t="s">
        <v>53</v>
      </c>
      <c r="C53" s="43">
        <f t="shared" si="0"/>
        <v>1190</v>
      </c>
      <c r="D53" s="44">
        <f>$E$24</f>
        <v>135.6</v>
      </c>
      <c r="E53" s="12"/>
      <c r="I53" s="6"/>
      <c r="J53" s="6"/>
      <c r="K53" s="108"/>
    </row>
    <row r="54" spans="2:11" x14ac:dyDescent="0.2">
      <c r="B54" s="12" t="s">
        <v>54</v>
      </c>
      <c r="C54" s="43">
        <f>($E$30*70)+($E$31*90)+($E$32*60)</f>
        <v>1020</v>
      </c>
      <c r="D54" s="44">
        <f t="shared" ref="D54" si="1">$E$24</f>
        <v>135.6</v>
      </c>
      <c r="E54" s="12"/>
      <c r="I54" s="6"/>
      <c r="J54" s="6"/>
      <c r="K54" s="108"/>
    </row>
    <row r="55" spans="2:11" x14ac:dyDescent="0.2">
      <c r="B55" s="12" t="s">
        <v>55</v>
      </c>
      <c r="C55" s="43"/>
      <c r="D55" s="44"/>
      <c r="E55" s="12"/>
      <c r="I55" s="6"/>
      <c r="J55" s="6"/>
      <c r="K55" s="108"/>
    </row>
    <row r="56" spans="2:11" x14ac:dyDescent="0.2">
      <c r="B56" s="12" t="s">
        <v>56</v>
      </c>
      <c r="C56" s="43"/>
      <c r="D56" s="44"/>
      <c r="E56" s="12"/>
      <c r="G56" s="91" t="s">
        <v>239</v>
      </c>
      <c r="I56" s="6"/>
      <c r="J56" s="6"/>
      <c r="K56" s="108"/>
    </row>
    <row r="57" spans="2:11" x14ac:dyDescent="0.2">
      <c r="B57" s="12" t="s">
        <v>57</v>
      </c>
      <c r="C57" s="43"/>
      <c r="D57" s="44"/>
      <c r="E57" s="12"/>
      <c r="G57" s="90">
        <f>C60+D60+E60</f>
        <v>6817.125</v>
      </c>
      <c r="I57" s="6"/>
      <c r="J57" s="6"/>
      <c r="K57" s="108"/>
    </row>
    <row r="58" spans="2:11" x14ac:dyDescent="0.2">
      <c r="B58" s="12" t="s">
        <v>58</v>
      </c>
      <c r="C58" s="43"/>
      <c r="D58" s="44"/>
      <c r="E58" s="12"/>
      <c r="I58" s="6"/>
      <c r="J58" s="6"/>
      <c r="K58" s="108"/>
    </row>
    <row r="59" spans="2:11" x14ac:dyDescent="0.2">
      <c r="B59" s="14" t="s">
        <v>59</v>
      </c>
      <c r="C59" s="43"/>
      <c r="D59" s="44"/>
      <c r="E59" s="14"/>
      <c r="G59" s="76" t="s">
        <v>62</v>
      </c>
      <c r="I59" s="6"/>
      <c r="J59" s="6"/>
      <c r="K59" s="108"/>
    </row>
    <row r="60" spans="2:11" x14ac:dyDescent="0.2">
      <c r="B60" s="12" t="s">
        <v>25</v>
      </c>
      <c r="C60" s="63">
        <f>SUM(C49:C59)</f>
        <v>5780</v>
      </c>
      <c r="D60" s="63">
        <f t="shared" ref="D60:E60" si="2">SUM(D49:D59)</f>
        <v>678</v>
      </c>
      <c r="E60" s="64">
        <f t="shared" si="2"/>
        <v>359.125</v>
      </c>
      <c r="G60" s="76">
        <f>SUM(C60:D60)</f>
        <v>6458</v>
      </c>
      <c r="I60" s="6"/>
      <c r="J60" s="6"/>
      <c r="K60" s="108"/>
    </row>
    <row r="61" spans="2:11" x14ac:dyDescent="0.2">
      <c r="I61" s="6"/>
      <c r="J61" s="6"/>
      <c r="K61" s="108"/>
    </row>
    <row r="62" spans="2:11" x14ac:dyDescent="0.2">
      <c r="B62" s="16" t="s">
        <v>70</v>
      </c>
      <c r="C62" s="16"/>
      <c r="D62" s="16"/>
      <c r="E62" s="16"/>
    </row>
    <row r="64" spans="2:11" x14ac:dyDescent="0.2">
      <c r="B64" t="s">
        <v>108</v>
      </c>
      <c r="E64" s="58">
        <f>E46/C60</f>
        <v>31876.204355169553</v>
      </c>
    </row>
    <row r="65" spans="2:7" x14ac:dyDescent="0.2">
      <c r="B65" s="40" t="s">
        <v>127</v>
      </c>
      <c r="C65" s="40"/>
      <c r="D65" s="40"/>
      <c r="E65" s="53">
        <f>E64*90*D65</f>
        <v>0</v>
      </c>
      <c r="G65" s="3" t="s">
        <v>223</v>
      </c>
    </row>
    <row r="66" spans="2:7" x14ac:dyDescent="0.2">
      <c r="B66" s="40" t="s">
        <v>128</v>
      </c>
      <c r="C66" s="40"/>
      <c r="D66" s="52">
        <v>1</v>
      </c>
      <c r="E66" s="53">
        <f>E64*70*D66</f>
        <v>2231334.3048618687</v>
      </c>
      <c r="G66" s="77">
        <v>1020000</v>
      </c>
    </row>
    <row r="67" spans="2:7" x14ac:dyDescent="0.2">
      <c r="B67" s="40" t="s">
        <v>110</v>
      </c>
      <c r="C67" s="40"/>
      <c r="D67" s="74">
        <v>1</v>
      </c>
      <c r="E67" s="89">
        <f>E64*60*D67</f>
        <v>1912572.2613101732</v>
      </c>
      <c r="G67" s="77">
        <v>2040000</v>
      </c>
    </row>
  </sheetData>
  <mergeCells count="7">
    <mergeCell ref="G37:G38"/>
    <mergeCell ref="A27:A30"/>
    <mergeCell ref="H5:H6"/>
    <mergeCell ref="G5:G6"/>
    <mergeCell ref="B29:C29"/>
    <mergeCell ref="B25:C25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 tint="-9.9978637043366805E-2"/>
  </sheetPr>
  <dimension ref="A1:O62"/>
  <sheetViews>
    <sheetView zoomScale="60" zoomScaleNormal="80" workbookViewId="0">
      <selection activeCell="D3" sqref="D3"/>
    </sheetView>
  </sheetViews>
  <sheetFormatPr baseColWidth="10" defaultRowHeight="16" x14ac:dyDescent="0.2"/>
  <cols>
    <col min="1" max="1" width="7.1640625" customWidth="1"/>
    <col min="2" max="2" width="24.5" customWidth="1"/>
    <col min="3" max="3" width="25.1640625" customWidth="1"/>
    <col min="4" max="4" width="8.83203125" customWidth="1"/>
    <col min="5" max="5" width="25.5" customWidth="1"/>
    <col min="7" max="7" width="38.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41" t="s">
        <v>276</v>
      </c>
      <c r="C1" s="41"/>
      <c r="D1" s="42" t="s">
        <v>92</v>
      </c>
    </row>
    <row r="2" spans="1:7" x14ac:dyDescent="0.2">
      <c r="B2" s="40" t="s">
        <v>160</v>
      </c>
      <c r="C2" s="40"/>
      <c r="D2" s="42" t="s">
        <v>258</v>
      </c>
    </row>
    <row r="4" spans="1:7" x14ac:dyDescent="0.2">
      <c r="B4" s="16" t="s">
        <v>63</v>
      </c>
      <c r="C4" s="16"/>
      <c r="D4" s="16"/>
      <c r="E4" s="16"/>
      <c r="F4" s="16"/>
    </row>
    <row r="5" spans="1:7" x14ac:dyDescent="0.2">
      <c r="B5" t="s">
        <v>111</v>
      </c>
      <c r="E5" s="2">
        <v>123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</v>
      </c>
    </row>
    <row r="8" spans="1:7" x14ac:dyDescent="0.2">
      <c r="B8" t="s">
        <v>93</v>
      </c>
      <c r="E8" s="2">
        <v>0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152</v>
      </c>
    </row>
    <row r="11" spans="1:7" x14ac:dyDescent="0.2">
      <c r="B11" t="s">
        <v>116</v>
      </c>
      <c r="E11" s="2"/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2.5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5" ht="23.25" customHeight="1" x14ac:dyDescent="0.2">
      <c r="B18" s="146" t="s">
        <v>119</v>
      </c>
      <c r="C18" s="146"/>
      <c r="E18" s="11">
        <v>86.7</v>
      </c>
      <c r="F18" t="s">
        <v>0</v>
      </c>
      <c r="G18" s="46"/>
    </row>
    <row r="19" spans="2:15" x14ac:dyDescent="0.2">
      <c r="B19" t="s">
        <v>94</v>
      </c>
      <c r="E19" s="40">
        <f>E5*(E7+E8)</f>
        <v>246</v>
      </c>
      <c r="F19" t="s">
        <v>0</v>
      </c>
    </row>
    <row r="20" spans="2:15" x14ac:dyDescent="0.2">
      <c r="B20" t="s">
        <v>39</v>
      </c>
      <c r="D20" s="11">
        <f>E19/E18</f>
        <v>2.8373702422145328</v>
      </c>
      <c r="E20" s="11">
        <v>3</v>
      </c>
      <c r="F20" t="s">
        <v>40</v>
      </c>
      <c r="G20" s="46"/>
    </row>
    <row r="21" spans="2:15" x14ac:dyDescent="0.2">
      <c r="B21" t="s">
        <v>101</v>
      </c>
      <c r="E21">
        <v>9</v>
      </c>
      <c r="F21" t="s">
        <v>34</v>
      </c>
      <c r="G21" s="46"/>
      <c r="H21" t="s">
        <v>106</v>
      </c>
    </row>
    <row r="22" spans="2:15" x14ac:dyDescent="0.2">
      <c r="B22" t="s">
        <v>61</v>
      </c>
      <c r="D22" s="4">
        <v>0.1</v>
      </c>
      <c r="E22" s="11">
        <f>E18*0.1</f>
        <v>8.67</v>
      </c>
      <c r="F22" t="s">
        <v>0</v>
      </c>
      <c r="G22" s="59"/>
    </row>
    <row r="23" spans="2:15" ht="34.5" customHeight="1" x14ac:dyDescent="0.2">
      <c r="B23" s="130" t="s">
        <v>121</v>
      </c>
      <c r="C23" s="130"/>
      <c r="D23" s="49">
        <v>3</v>
      </c>
      <c r="E23" s="51">
        <f>E18-E22</f>
        <v>78.03</v>
      </c>
      <c r="F23" s="49" t="s">
        <v>0</v>
      </c>
      <c r="G23" s="46"/>
    </row>
    <row r="24" spans="2:15" ht="17" x14ac:dyDescent="0.2">
      <c r="B24" s="5"/>
      <c r="C24" s="5"/>
      <c r="E24" s="11"/>
      <c r="G24" s="87" t="s">
        <v>233</v>
      </c>
    </row>
    <row r="25" spans="2:15" x14ac:dyDescent="0.2">
      <c r="B25" t="s">
        <v>122</v>
      </c>
      <c r="D25" s="11">
        <f>E23/70</f>
        <v>1.1147142857142858</v>
      </c>
      <c r="E25">
        <v>1</v>
      </c>
      <c r="F25" s="80">
        <f>D23*E25</f>
        <v>3</v>
      </c>
      <c r="G25" s="86">
        <f>F25</f>
        <v>3</v>
      </c>
    </row>
    <row r="26" spans="2:15" x14ac:dyDescent="0.2">
      <c r="B26" t="s">
        <v>141</v>
      </c>
      <c r="D26" s="2"/>
      <c r="F26" s="80"/>
      <c r="G26" s="86">
        <f>F26</f>
        <v>0</v>
      </c>
    </row>
    <row r="27" spans="2:15" x14ac:dyDescent="0.2">
      <c r="B27" t="s">
        <v>161</v>
      </c>
      <c r="D27" s="2"/>
      <c r="F27" s="80"/>
      <c r="G27" s="86">
        <f>F27</f>
        <v>0</v>
      </c>
    </row>
    <row r="28" spans="2:15" x14ac:dyDescent="0.2">
      <c r="D28" s="2"/>
      <c r="G28" s="123"/>
    </row>
    <row r="29" spans="2:15" x14ac:dyDescent="0.2">
      <c r="B29" s="40" t="s">
        <v>123</v>
      </c>
      <c r="C29" s="40"/>
      <c r="D29" s="40"/>
      <c r="E29" s="56">
        <f>SUM(G25:G27)</f>
        <v>3</v>
      </c>
    </row>
    <row r="30" spans="2:15" x14ac:dyDescent="0.2">
      <c r="B30" t="s">
        <v>126</v>
      </c>
      <c r="D30" s="11">
        <f>E29*0.25</f>
        <v>0.75</v>
      </c>
      <c r="E30">
        <v>1</v>
      </c>
    </row>
    <row r="32" spans="2:15" x14ac:dyDescent="0.2">
      <c r="B32" s="16" t="s">
        <v>64</v>
      </c>
      <c r="C32" s="16"/>
      <c r="D32" s="16"/>
      <c r="E32" s="16"/>
      <c r="F32" s="40"/>
      <c r="G32" s="40"/>
      <c r="H32" s="40"/>
      <c r="I32" s="40"/>
      <c r="J32" s="40"/>
      <c r="K32" s="40"/>
      <c r="L32" s="40"/>
      <c r="M32" s="40"/>
      <c r="N32" s="40"/>
      <c r="O32" s="40"/>
    </row>
    <row r="33" spans="2:13" x14ac:dyDescent="0.2">
      <c r="B33" t="s">
        <v>28</v>
      </c>
      <c r="E33" s="8">
        <v>3900000</v>
      </c>
      <c r="F33" s="40"/>
      <c r="G33" s="139" t="s">
        <v>104</v>
      </c>
      <c r="H33" s="40"/>
    </row>
    <row r="34" spans="2:13" x14ac:dyDescent="0.2">
      <c r="B34" t="s">
        <v>107</v>
      </c>
      <c r="E34" s="8">
        <f>(E33-DATOS!L65)*DATOS!M65</f>
        <v>121913.68832</v>
      </c>
      <c r="F34" s="40"/>
      <c r="G34" s="139"/>
    </row>
    <row r="35" spans="2:13" x14ac:dyDescent="0.2">
      <c r="B35" t="s">
        <v>65</v>
      </c>
      <c r="E35" s="8">
        <f>G52*DATOS!H31</f>
        <v>4220966.7360000005</v>
      </c>
    </row>
    <row r="36" spans="2:13" x14ac:dyDescent="0.2">
      <c r="B36" t="s">
        <v>67</v>
      </c>
      <c r="E36" s="8">
        <f>E35*DATOS!B39</f>
        <v>337677.33888000005</v>
      </c>
      <c r="G36" s="40"/>
    </row>
    <row r="37" spans="2:13" x14ac:dyDescent="0.2">
      <c r="B37" t="s">
        <v>86</v>
      </c>
      <c r="E37" s="8">
        <f>E35*DATOS!B49</f>
        <v>295467.67152000009</v>
      </c>
    </row>
    <row r="38" spans="2:13" x14ac:dyDescent="0.2">
      <c r="B38" t="s">
        <v>68</v>
      </c>
      <c r="E38" s="8">
        <f>E35*DATOS!B83</f>
        <v>274362.83784000005</v>
      </c>
      <c r="G38" s="46"/>
    </row>
    <row r="39" spans="2:13" x14ac:dyDescent="0.2">
      <c r="B39" t="s">
        <v>129</v>
      </c>
      <c r="E39" s="8">
        <f>E35*DATOS!B91</f>
        <v>633145.01040000003</v>
      </c>
    </row>
    <row r="41" spans="2:13" x14ac:dyDescent="0.2">
      <c r="B41" s="54" t="s">
        <v>69</v>
      </c>
      <c r="C41" s="54"/>
      <c r="D41" s="67"/>
      <c r="E41" s="68">
        <f>SUM(E33:E39)</f>
        <v>9783533.2829600014</v>
      </c>
    </row>
    <row r="42" spans="2:13" x14ac:dyDescent="0.2">
      <c r="B42" s="40"/>
      <c r="C42" s="40" t="s">
        <v>120</v>
      </c>
    </row>
    <row r="43" spans="2:13" ht="85" x14ac:dyDescent="0.2">
      <c r="B43" s="12"/>
      <c r="C43" s="13" t="s">
        <v>46</v>
      </c>
      <c r="D43" s="13" t="s">
        <v>47</v>
      </c>
      <c r="E43" s="13" t="s">
        <v>48</v>
      </c>
    </row>
    <row r="44" spans="2:13" x14ac:dyDescent="0.2">
      <c r="B44" s="12" t="s">
        <v>49</v>
      </c>
      <c r="C44" s="12"/>
      <c r="D44" s="12"/>
      <c r="E44" s="44">
        <f>E30*13*1.3</f>
        <v>16.900000000000002</v>
      </c>
      <c r="M44" s="46"/>
    </row>
    <row r="45" spans="2:13" x14ac:dyDescent="0.2">
      <c r="B45" s="12" t="s">
        <v>50</v>
      </c>
      <c r="C45" s="43">
        <f>($E$25*70)+($E$26*90)+($E$27*60)</f>
        <v>70</v>
      </c>
      <c r="D45" s="44">
        <f>$E$22</f>
        <v>8.67</v>
      </c>
      <c r="E45" s="12"/>
    </row>
    <row r="46" spans="2:13" x14ac:dyDescent="0.2">
      <c r="B46" s="12" t="s">
        <v>51</v>
      </c>
      <c r="C46" s="43">
        <f t="shared" ref="C46:C47" si="0">($E$25*70)+($E$26*90)+($E$27*60)</f>
        <v>70</v>
      </c>
      <c r="D46" s="44">
        <f t="shared" ref="D46:D47" si="1">$E$22</f>
        <v>8.67</v>
      </c>
      <c r="E46" s="12"/>
    </row>
    <row r="47" spans="2:13" x14ac:dyDescent="0.2">
      <c r="B47" s="12" t="s">
        <v>52</v>
      </c>
      <c r="C47" s="43">
        <f t="shared" si="0"/>
        <v>70</v>
      </c>
      <c r="D47" s="44">
        <f t="shared" si="1"/>
        <v>8.67</v>
      </c>
      <c r="E47" s="12"/>
    </row>
    <row r="48" spans="2:13" x14ac:dyDescent="0.2">
      <c r="B48" s="12" t="s">
        <v>53</v>
      </c>
      <c r="C48" s="43"/>
      <c r="D48" s="44"/>
      <c r="E48" s="12"/>
      <c r="I48" s="6"/>
      <c r="J48" s="6"/>
      <c r="K48" s="108"/>
      <c r="M48" s="86"/>
    </row>
    <row r="49" spans="2:13" x14ac:dyDescent="0.2">
      <c r="B49" s="12" t="s">
        <v>54</v>
      </c>
      <c r="C49" s="43"/>
      <c r="D49" s="44"/>
      <c r="E49" s="12"/>
      <c r="I49" s="6"/>
      <c r="J49" s="6"/>
      <c r="K49" s="108"/>
      <c r="M49" s="86"/>
    </row>
    <row r="50" spans="2:13" x14ac:dyDescent="0.2">
      <c r="B50" s="12" t="s">
        <v>55</v>
      </c>
      <c r="C50" s="43"/>
      <c r="D50" s="44"/>
      <c r="E50" s="12"/>
      <c r="I50" s="6"/>
      <c r="J50" s="6"/>
      <c r="K50" s="108"/>
      <c r="M50" s="86"/>
    </row>
    <row r="51" spans="2:13" x14ac:dyDescent="0.2">
      <c r="B51" s="12" t="s">
        <v>56</v>
      </c>
      <c r="C51" s="43"/>
      <c r="D51" s="44"/>
      <c r="E51" s="12"/>
      <c r="G51" s="91" t="s">
        <v>239</v>
      </c>
      <c r="I51" s="6"/>
      <c r="J51" s="6"/>
      <c r="K51" s="108"/>
      <c r="M51" s="86"/>
    </row>
    <row r="52" spans="2:13" x14ac:dyDescent="0.2">
      <c r="B52" s="12" t="s">
        <v>57</v>
      </c>
      <c r="C52" s="43"/>
      <c r="D52" s="44"/>
      <c r="E52" s="12"/>
      <c r="G52" s="90">
        <f>C55+D55+E55</f>
        <v>252.91</v>
      </c>
      <c r="I52" s="6"/>
      <c r="J52" s="6"/>
      <c r="K52" s="108"/>
      <c r="M52" s="86"/>
    </row>
    <row r="53" spans="2:13" x14ac:dyDescent="0.2">
      <c r="B53" s="12" t="s">
        <v>58</v>
      </c>
      <c r="C53" s="43"/>
      <c r="D53" s="44"/>
      <c r="E53" s="12"/>
      <c r="I53" s="6"/>
      <c r="J53" s="6"/>
      <c r="K53" s="108"/>
      <c r="M53" s="86"/>
    </row>
    <row r="54" spans="2:13" x14ac:dyDescent="0.2">
      <c r="B54" s="14" t="s">
        <v>59</v>
      </c>
      <c r="C54" s="43"/>
      <c r="D54" s="44"/>
      <c r="E54" s="14"/>
      <c r="G54" s="76" t="s">
        <v>62</v>
      </c>
      <c r="I54" s="6"/>
      <c r="J54" s="6"/>
      <c r="K54" s="108"/>
      <c r="M54" s="86"/>
    </row>
    <row r="55" spans="2:13" x14ac:dyDescent="0.2">
      <c r="B55" s="12" t="s">
        <v>25</v>
      </c>
      <c r="C55" s="63">
        <f>SUM(C44:C54)</f>
        <v>210</v>
      </c>
      <c r="D55" s="63">
        <f t="shared" ref="D55:E55" si="2">SUM(D44:D54)</f>
        <v>26.009999999999998</v>
      </c>
      <c r="E55" s="64">
        <f t="shared" si="2"/>
        <v>16.900000000000002</v>
      </c>
      <c r="G55" s="76">
        <f>SUM(C55:D55)</f>
        <v>236.01</v>
      </c>
      <c r="I55" s="6"/>
      <c r="J55" s="6"/>
      <c r="K55" s="108"/>
      <c r="M55" s="86"/>
    </row>
    <row r="56" spans="2:13" x14ac:dyDescent="0.2">
      <c r="I56" s="6"/>
      <c r="J56" s="6"/>
      <c r="K56" s="108"/>
      <c r="M56" s="86"/>
    </row>
    <row r="57" spans="2:13" x14ac:dyDescent="0.2">
      <c r="B57" s="16" t="s">
        <v>70</v>
      </c>
      <c r="C57" s="16"/>
      <c r="D57" s="16"/>
      <c r="E57" s="16"/>
    </row>
    <row r="59" spans="2:13" x14ac:dyDescent="0.2">
      <c r="B59" t="s">
        <v>108</v>
      </c>
      <c r="E59" s="58">
        <f>E41/C55</f>
        <v>46588.253728380958</v>
      </c>
      <c r="G59" s="3" t="s">
        <v>223</v>
      </c>
    </row>
    <row r="60" spans="2:13" x14ac:dyDescent="0.2">
      <c r="B60" s="40" t="s">
        <v>127</v>
      </c>
      <c r="C60" s="40"/>
      <c r="D60" s="65">
        <v>0</v>
      </c>
      <c r="E60" s="53">
        <f>$E$59*90*D60</f>
        <v>0</v>
      </c>
      <c r="G60" s="77">
        <v>1020000</v>
      </c>
    </row>
    <row r="61" spans="2:13" x14ac:dyDescent="0.2">
      <c r="B61" s="40" t="s">
        <v>128</v>
      </c>
      <c r="C61" s="40"/>
      <c r="D61" s="66">
        <v>1</v>
      </c>
      <c r="E61" s="53">
        <f>$E$59*70*D61</f>
        <v>3261177.7609866671</v>
      </c>
      <c r="G61" s="77">
        <v>2040000</v>
      </c>
    </row>
    <row r="62" spans="2:13" x14ac:dyDescent="0.2">
      <c r="B62" s="40" t="s">
        <v>110</v>
      </c>
      <c r="C62" s="40"/>
      <c r="D62" s="65"/>
      <c r="E62" s="53">
        <f t="shared" ref="E62" si="3">$E$59*90*D62</f>
        <v>0</v>
      </c>
    </row>
  </sheetData>
  <mergeCells count="4">
    <mergeCell ref="G5:G6"/>
    <mergeCell ref="G33:G34"/>
    <mergeCell ref="B23:C23"/>
    <mergeCell ref="B18:C18"/>
  </mergeCells>
  <pageMargins left="0.7" right="0.7" top="0.75" bottom="0.75" header="0.3" footer="0.3"/>
  <pageSetup orientation="portrait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 tint="-9.9978637043366805E-2"/>
  </sheetPr>
  <dimension ref="A1:N65"/>
  <sheetViews>
    <sheetView zoomScale="82" zoomScaleNormal="65" workbookViewId="0">
      <selection activeCell="H46" sqref="H46"/>
    </sheetView>
  </sheetViews>
  <sheetFormatPr baseColWidth="10" defaultRowHeight="16" x14ac:dyDescent="0.2"/>
  <cols>
    <col min="1" max="1" width="7.1640625" customWidth="1"/>
    <col min="2" max="2" width="24.33203125" customWidth="1"/>
    <col min="3" max="3" width="22" customWidth="1"/>
    <col min="4" max="4" width="8.83203125" customWidth="1"/>
    <col min="5" max="5" width="25.5" customWidth="1"/>
    <col min="7" max="7" width="34.6640625" customWidth="1"/>
    <col min="8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.33203125" customWidth="1"/>
    <col min="14" max="14" width="18.83203125" customWidth="1"/>
  </cols>
  <sheetData>
    <row r="1" spans="1:7" x14ac:dyDescent="0.2">
      <c r="A1" s="40" t="s">
        <v>28</v>
      </c>
      <c r="B1" s="41" t="s">
        <v>311</v>
      </c>
      <c r="C1" s="41"/>
      <c r="D1" s="42" t="s">
        <v>92</v>
      </c>
    </row>
    <row r="2" spans="1:7" x14ac:dyDescent="0.2">
      <c r="B2" s="40" t="s">
        <v>162</v>
      </c>
      <c r="C2" s="40"/>
      <c r="D2" s="42" t="s">
        <v>258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124</v>
      </c>
      <c r="F5" t="s">
        <v>0</v>
      </c>
      <c r="G5" s="139" t="s">
        <v>60</v>
      </c>
    </row>
    <row r="6" spans="1:7" x14ac:dyDescent="0.2">
      <c r="B6" t="s">
        <v>30</v>
      </c>
      <c r="E6" s="2">
        <v>0.8</v>
      </c>
      <c r="G6" s="139"/>
    </row>
    <row r="7" spans="1:7" x14ac:dyDescent="0.2">
      <c r="B7" t="s">
        <v>31</v>
      </c>
      <c r="E7" s="2">
        <v>2</v>
      </c>
    </row>
    <row r="8" spans="1:7" x14ac:dyDescent="0.2">
      <c r="B8" t="s">
        <v>93</v>
      </c>
      <c r="E8" s="2">
        <v>0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152</v>
      </c>
    </row>
    <row r="11" spans="1:7" x14ac:dyDescent="0.2">
      <c r="B11" t="s">
        <v>116</v>
      </c>
      <c r="E11" s="2"/>
      <c r="F11" t="s">
        <v>34</v>
      </c>
      <c r="G11" s="46"/>
    </row>
    <row r="12" spans="1:7" x14ac:dyDescent="0.2">
      <c r="B12" t="s">
        <v>165</v>
      </c>
      <c r="E12" s="2"/>
      <c r="G12" s="46"/>
    </row>
    <row r="13" spans="1:7" ht="34" x14ac:dyDescent="0.2">
      <c r="B13" t="s">
        <v>35</v>
      </c>
      <c r="E13" s="45" t="s">
        <v>117</v>
      </c>
      <c r="G13" s="46"/>
    </row>
    <row r="14" spans="1:7" x14ac:dyDescent="0.2">
      <c r="B14" t="s">
        <v>36</v>
      </c>
      <c r="E14">
        <v>2.5</v>
      </c>
      <c r="F14" t="s">
        <v>34</v>
      </c>
    </row>
    <row r="15" spans="1:7" x14ac:dyDescent="0.2">
      <c r="B15" t="s">
        <v>37</v>
      </c>
      <c r="E15">
        <v>0</v>
      </c>
      <c r="F15" t="s">
        <v>34</v>
      </c>
    </row>
    <row r="16" spans="1:7" x14ac:dyDescent="0.2">
      <c r="B16" t="s">
        <v>38</v>
      </c>
      <c r="E16">
        <v>3</v>
      </c>
      <c r="F16" t="s">
        <v>34</v>
      </c>
    </row>
    <row r="17" spans="2:8" x14ac:dyDescent="0.2">
      <c r="B17" t="s">
        <v>96</v>
      </c>
      <c r="E17" s="2" t="s">
        <v>118</v>
      </c>
    </row>
    <row r="19" spans="2:8" ht="20.25" customHeight="1" x14ac:dyDescent="0.2">
      <c r="B19" s="147" t="s">
        <v>119</v>
      </c>
      <c r="C19" s="147"/>
      <c r="E19" s="11">
        <v>85.5</v>
      </c>
      <c r="F19" t="s">
        <v>0</v>
      </c>
      <c r="G19" s="46"/>
    </row>
    <row r="20" spans="2:8" x14ac:dyDescent="0.2">
      <c r="B20" t="s">
        <v>94</v>
      </c>
      <c r="E20" s="40">
        <f>E5*(E7+E8)</f>
        <v>248</v>
      </c>
      <c r="F20" t="s">
        <v>0</v>
      </c>
    </row>
    <row r="21" spans="2:8" x14ac:dyDescent="0.2">
      <c r="B21" t="s">
        <v>39</v>
      </c>
      <c r="D21" s="11">
        <f>E20/E19</f>
        <v>2.9005847953216373</v>
      </c>
      <c r="E21" s="11">
        <v>3</v>
      </c>
      <c r="F21" t="s">
        <v>40</v>
      </c>
      <c r="G21" s="46"/>
    </row>
    <row r="22" spans="2:8" x14ac:dyDescent="0.2">
      <c r="B22" t="s">
        <v>101</v>
      </c>
      <c r="E22">
        <v>9</v>
      </c>
      <c r="F22" t="s">
        <v>34</v>
      </c>
      <c r="G22" s="46"/>
      <c r="H22" t="s">
        <v>106</v>
      </c>
    </row>
    <row r="23" spans="2:8" x14ac:dyDescent="0.2">
      <c r="B23" t="s">
        <v>61</v>
      </c>
      <c r="D23" s="4">
        <v>0.1</v>
      </c>
      <c r="E23" s="11">
        <f>E19*0.1</f>
        <v>8.5500000000000007</v>
      </c>
      <c r="F23" t="s">
        <v>0</v>
      </c>
      <c r="G23" s="59"/>
    </row>
    <row r="24" spans="2:8" ht="30.75" customHeight="1" x14ac:dyDescent="0.2">
      <c r="B24" s="130" t="s">
        <v>121</v>
      </c>
      <c r="C24" s="130"/>
      <c r="D24" s="49">
        <v>3</v>
      </c>
      <c r="E24" s="51">
        <f>E19-E23</f>
        <v>76.95</v>
      </c>
      <c r="F24" s="49" t="s">
        <v>0</v>
      </c>
      <c r="G24" s="46"/>
    </row>
    <row r="25" spans="2:8" ht="17" x14ac:dyDescent="0.2">
      <c r="B25" s="5"/>
      <c r="C25" s="5"/>
      <c r="E25" s="11"/>
      <c r="G25" s="87" t="s">
        <v>233</v>
      </c>
    </row>
    <row r="26" spans="2:8" ht="15.75" customHeight="1" x14ac:dyDescent="0.2">
      <c r="B26" t="s">
        <v>122</v>
      </c>
      <c r="D26" s="11">
        <f>E24/70</f>
        <v>1.0992857142857144</v>
      </c>
      <c r="E26">
        <v>1</v>
      </c>
      <c r="F26" s="80">
        <f>D24*E26</f>
        <v>3</v>
      </c>
      <c r="G26" s="86">
        <f>F26</f>
        <v>3</v>
      </c>
    </row>
    <row r="27" spans="2:8" x14ac:dyDescent="0.2">
      <c r="B27" t="s">
        <v>141</v>
      </c>
      <c r="D27" s="2"/>
      <c r="F27" s="80">
        <f>D24*E27</f>
        <v>0</v>
      </c>
      <c r="G27" s="86">
        <f>F27</f>
        <v>0</v>
      </c>
    </row>
    <row r="28" spans="2:8" x14ac:dyDescent="0.2">
      <c r="B28" t="s">
        <v>125</v>
      </c>
      <c r="D28" s="2"/>
      <c r="F28" s="80">
        <f>D24*E28</f>
        <v>0</v>
      </c>
      <c r="G28" s="86">
        <f>F28</f>
        <v>0</v>
      </c>
    </row>
    <row r="30" spans="2:8" x14ac:dyDescent="0.2">
      <c r="B30" s="40" t="s">
        <v>123</v>
      </c>
      <c r="C30" s="40"/>
      <c r="D30" s="40"/>
      <c r="E30" s="56">
        <f>SUM(G26:G28)</f>
        <v>3</v>
      </c>
    </row>
    <row r="31" spans="2:8" x14ac:dyDescent="0.2">
      <c r="B31" t="s">
        <v>126</v>
      </c>
      <c r="D31" s="11">
        <f>E30*0.25</f>
        <v>0.75</v>
      </c>
      <c r="E31">
        <v>1</v>
      </c>
    </row>
    <row r="33" spans="2:14" x14ac:dyDescent="0.2">
      <c r="B33" s="16" t="s">
        <v>64</v>
      </c>
      <c r="C33" s="16"/>
      <c r="D33" s="16"/>
      <c r="E33" s="16"/>
      <c r="F33" s="40"/>
      <c r="G33" s="40"/>
      <c r="H33" s="40"/>
      <c r="I33" s="40"/>
      <c r="J33" s="40"/>
      <c r="K33" s="40"/>
      <c r="L33" s="40"/>
      <c r="M33" s="40"/>
      <c r="N33" s="40"/>
    </row>
    <row r="34" spans="2:14" x14ac:dyDescent="0.2">
      <c r="B34" t="s">
        <v>28</v>
      </c>
      <c r="E34" s="8">
        <v>3666000</v>
      </c>
      <c r="F34" s="40"/>
      <c r="G34" s="40"/>
      <c r="H34" s="40"/>
    </row>
    <row r="35" spans="2:14" x14ac:dyDescent="0.2">
      <c r="B35" t="s">
        <v>107</v>
      </c>
      <c r="E35" s="8">
        <f>(E34-DATOS!L65)*DATOS!M65</f>
        <v>114425.68832</v>
      </c>
      <c r="F35" s="40"/>
      <c r="G35" s="40"/>
    </row>
    <row r="36" spans="2:14" x14ac:dyDescent="0.2">
      <c r="B36" t="s">
        <v>65</v>
      </c>
      <c r="E36" s="8">
        <f>G55*DATOS!H31</f>
        <v>4214958.4800000004</v>
      </c>
    </row>
    <row r="37" spans="2:14" x14ac:dyDescent="0.2">
      <c r="B37" t="s">
        <v>67</v>
      </c>
      <c r="E37" s="8">
        <f>E36*DATOS!B39</f>
        <v>337196.67840000003</v>
      </c>
      <c r="G37" s="40"/>
    </row>
    <row r="38" spans="2:14" x14ac:dyDescent="0.2">
      <c r="B38" t="s">
        <v>86</v>
      </c>
      <c r="E38" s="8">
        <f>E36*DATOS!B49</f>
        <v>295047.09360000008</v>
      </c>
      <c r="G38" s="139" t="s">
        <v>104</v>
      </c>
    </row>
    <row r="39" spans="2:14" x14ac:dyDescent="0.2">
      <c r="B39" t="s">
        <v>68</v>
      </c>
      <c r="E39" s="8">
        <f>E36*DATOS!B83</f>
        <v>273972.30120000005</v>
      </c>
      <c r="G39" s="139"/>
    </row>
    <row r="40" spans="2:14" x14ac:dyDescent="0.2">
      <c r="B40" t="s">
        <v>129</v>
      </c>
      <c r="E40" s="8">
        <f>E36*DATOS!B91</f>
        <v>632243.772</v>
      </c>
    </row>
    <row r="41" spans="2:14" x14ac:dyDescent="0.2">
      <c r="B41" t="s">
        <v>163</v>
      </c>
      <c r="E41">
        <f>E12*DATOS!E35</f>
        <v>0</v>
      </c>
    </row>
    <row r="43" spans="2:14" x14ac:dyDescent="0.2">
      <c r="B43" s="54" t="s">
        <v>69</v>
      </c>
      <c r="C43" s="54"/>
      <c r="D43" s="67"/>
      <c r="E43" s="68">
        <f>SUM(E34:E40)</f>
        <v>9533844.0135200005</v>
      </c>
    </row>
    <row r="45" spans="2:14" x14ac:dyDescent="0.2">
      <c r="B45" s="40"/>
      <c r="C45" s="40" t="s">
        <v>120</v>
      </c>
      <c r="M45" s="46"/>
    </row>
    <row r="46" spans="2:14" ht="85" x14ac:dyDescent="0.2">
      <c r="B46" s="12"/>
      <c r="C46" s="13" t="s">
        <v>46</v>
      </c>
      <c r="D46" s="13" t="s">
        <v>47</v>
      </c>
      <c r="E46" s="13" t="s">
        <v>48</v>
      </c>
    </row>
    <row r="47" spans="2:14" x14ac:dyDescent="0.2">
      <c r="B47" s="12" t="s">
        <v>49</v>
      </c>
      <c r="C47" s="12"/>
      <c r="D47" s="12"/>
      <c r="E47" s="44">
        <f>E31*13*1.3</f>
        <v>16.900000000000002</v>
      </c>
    </row>
    <row r="48" spans="2:14" x14ac:dyDescent="0.2">
      <c r="B48" s="12" t="s">
        <v>50</v>
      </c>
      <c r="C48" s="43">
        <f>($E$26*70)+($E$27*90)+($E$28*60)</f>
        <v>70</v>
      </c>
      <c r="D48" s="44">
        <f>$E$23</f>
        <v>8.5500000000000007</v>
      </c>
      <c r="E48" s="12"/>
    </row>
    <row r="49" spans="2:13" x14ac:dyDescent="0.2">
      <c r="B49" s="12" t="s">
        <v>51</v>
      </c>
      <c r="C49" s="43">
        <f t="shared" ref="C49:C50" si="0">($E$26*70)+($E$27*90)+($E$28*60)</f>
        <v>70</v>
      </c>
      <c r="D49" s="44">
        <f t="shared" ref="D49:D50" si="1">$E$23</f>
        <v>8.5500000000000007</v>
      </c>
      <c r="E49" s="12"/>
      <c r="I49" s="6"/>
      <c r="J49" s="6"/>
      <c r="K49" s="108"/>
      <c r="M49" s="86"/>
    </row>
    <row r="50" spans="2:13" x14ac:dyDescent="0.2">
      <c r="B50" s="12" t="s">
        <v>52</v>
      </c>
      <c r="C50" s="43">
        <f t="shared" si="0"/>
        <v>70</v>
      </c>
      <c r="D50" s="44">
        <f t="shared" si="1"/>
        <v>8.5500000000000007</v>
      </c>
      <c r="E50" s="12"/>
      <c r="I50" s="6"/>
      <c r="J50" s="6"/>
      <c r="K50" s="108"/>
      <c r="M50" s="86"/>
    </row>
    <row r="51" spans="2:13" x14ac:dyDescent="0.2">
      <c r="B51" s="12" t="s">
        <v>53</v>
      </c>
      <c r="C51" s="43"/>
      <c r="D51" s="44"/>
      <c r="E51" s="12"/>
      <c r="I51" s="6"/>
      <c r="J51" s="6"/>
      <c r="K51" s="108"/>
      <c r="M51" s="86"/>
    </row>
    <row r="52" spans="2:13" x14ac:dyDescent="0.2">
      <c r="B52" s="12" t="s">
        <v>54</v>
      </c>
      <c r="C52" s="43"/>
      <c r="D52" s="44"/>
      <c r="E52" s="12"/>
      <c r="I52" s="6"/>
      <c r="J52" s="6"/>
      <c r="K52" s="108"/>
      <c r="M52" s="86"/>
    </row>
    <row r="53" spans="2:13" x14ac:dyDescent="0.2">
      <c r="B53" s="12" t="s">
        <v>55</v>
      </c>
      <c r="C53" s="43"/>
      <c r="D53" s="44"/>
      <c r="E53" s="12"/>
      <c r="I53" s="6"/>
      <c r="J53" s="6"/>
      <c r="K53" s="108"/>
      <c r="M53" s="86"/>
    </row>
    <row r="54" spans="2:13" x14ac:dyDescent="0.2">
      <c r="B54" s="12" t="s">
        <v>56</v>
      </c>
      <c r="C54" s="43"/>
      <c r="D54" s="44"/>
      <c r="E54" s="12"/>
      <c r="G54" s="91" t="s">
        <v>239</v>
      </c>
      <c r="I54" s="6"/>
      <c r="J54" s="6"/>
      <c r="K54" s="108"/>
      <c r="M54" s="86"/>
    </row>
    <row r="55" spans="2:13" x14ac:dyDescent="0.2">
      <c r="B55" s="12" t="s">
        <v>57</v>
      </c>
      <c r="C55" s="43"/>
      <c r="D55" s="44"/>
      <c r="E55" s="12"/>
      <c r="G55" s="90">
        <f>C58+D58+E58</f>
        <v>252.55</v>
      </c>
      <c r="I55" s="6"/>
      <c r="J55" s="6"/>
      <c r="K55" s="108"/>
      <c r="M55" s="86"/>
    </row>
    <row r="56" spans="2:13" x14ac:dyDescent="0.2">
      <c r="B56" s="12" t="s">
        <v>58</v>
      </c>
      <c r="C56" s="43"/>
      <c r="D56" s="44"/>
      <c r="E56" s="12"/>
      <c r="I56" s="6"/>
      <c r="J56" s="6"/>
      <c r="K56" s="108"/>
      <c r="M56" s="86"/>
    </row>
    <row r="57" spans="2:13" x14ac:dyDescent="0.2">
      <c r="B57" s="14" t="s">
        <v>59</v>
      </c>
      <c r="C57" s="43"/>
      <c r="D57" s="44"/>
      <c r="E57" s="14"/>
      <c r="G57" s="76" t="s">
        <v>62</v>
      </c>
      <c r="I57" s="6"/>
      <c r="J57" s="6"/>
      <c r="K57" s="108"/>
      <c r="M57" s="86"/>
    </row>
    <row r="58" spans="2:13" x14ac:dyDescent="0.2">
      <c r="B58" s="12" t="s">
        <v>25</v>
      </c>
      <c r="C58" s="63">
        <f>SUM(C47:C57)</f>
        <v>210</v>
      </c>
      <c r="D58" s="63">
        <f t="shared" ref="D58:E58" si="2">SUM(D47:D57)</f>
        <v>25.650000000000002</v>
      </c>
      <c r="E58" s="64">
        <f t="shared" si="2"/>
        <v>16.900000000000002</v>
      </c>
      <c r="G58" s="76">
        <f>SUM(C58:D58)</f>
        <v>235.65</v>
      </c>
      <c r="I58" s="6"/>
      <c r="J58" s="6"/>
      <c r="K58" s="108"/>
      <c r="M58" s="86"/>
    </row>
    <row r="60" spans="2:13" x14ac:dyDescent="0.2">
      <c r="B60" s="16" t="s">
        <v>70</v>
      </c>
      <c r="C60" s="16"/>
      <c r="D60" s="16"/>
      <c r="E60" s="16"/>
    </row>
    <row r="62" spans="2:13" x14ac:dyDescent="0.2">
      <c r="B62" t="s">
        <v>108</v>
      </c>
      <c r="E62" s="58">
        <f>E43/C58</f>
        <v>45399.257207238101</v>
      </c>
    </row>
    <row r="63" spans="2:13" x14ac:dyDescent="0.2">
      <c r="B63" s="40" t="s">
        <v>127</v>
      </c>
      <c r="C63" s="40"/>
      <c r="D63" s="65">
        <v>0</v>
      </c>
      <c r="E63" s="53">
        <f>$E$62*90*D63</f>
        <v>0</v>
      </c>
      <c r="G63" s="3" t="s">
        <v>223</v>
      </c>
    </row>
    <row r="64" spans="2:13" x14ac:dyDescent="0.2">
      <c r="B64" s="40" t="s">
        <v>128</v>
      </c>
      <c r="C64" s="40"/>
      <c r="D64" s="66">
        <v>1</v>
      </c>
      <c r="E64" s="53">
        <f>$E$62*70*D64</f>
        <v>3177948.0045066671</v>
      </c>
      <c r="G64" s="77">
        <v>1020000</v>
      </c>
    </row>
    <row r="65" spans="2:7" x14ac:dyDescent="0.2">
      <c r="B65" s="40" t="s">
        <v>110</v>
      </c>
      <c r="C65" s="40"/>
      <c r="D65" s="65"/>
      <c r="E65" s="53">
        <f t="shared" ref="E65" si="3">$E$62*90*D65</f>
        <v>0</v>
      </c>
      <c r="G65" s="77">
        <v>2040000</v>
      </c>
    </row>
  </sheetData>
  <mergeCells count="4">
    <mergeCell ref="G5:G6"/>
    <mergeCell ref="B19:C19"/>
    <mergeCell ref="B24:C24"/>
    <mergeCell ref="G38:G39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  <pageSetUpPr fitToPage="1"/>
  </sheetPr>
  <dimension ref="A1:H66"/>
  <sheetViews>
    <sheetView showGridLines="0" zoomScale="87" zoomScaleNormal="60" workbookViewId="0">
      <selection activeCell="D3" sqref="D3"/>
    </sheetView>
  </sheetViews>
  <sheetFormatPr baseColWidth="10" defaultRowHeight="16" x14ac:dyDescent="0.2"/>
  <cols>
    <col min="1" max="1" width="7.1640625" customWidth="1"/>
    <col min="2" max="2" width="20.6640625" customWidth="1"/>
    <col min="3" max="3" width="22.1640625" customWidth="1"/>
    <col min="4" max="4" width="8.83203125" customWidth="1"/>
    <col min="5" max="5" width="25.5" customWidth="1"/>
    <col min="7" max="7" width="43.33203125" customWidth="1"/>
    <col min="8" max="8" width="13.66406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.33203125" customWidth="1"/>
    <col min="14" max="14" width="18.83203125" customWidth="1"/>
  </cols>
  <sheetData>
    <row r="1" spans="1:7" x14ac:dyDescent="0.2">
      <c r="A1" s="67" t="s">
        <v>28</v>
      </c>
      <c r="B1" s="41" t="s">
        <v>231</v>
      </c>
      <c r="C1" s="41"/>
      <c r="D1" s="42" t="s">
        <v>92</v>
      </c>
    </row>
    <row r="2" spans="1:7" x14ac:dyDescent="0.2">
      <c r="B2" s="40" t="s">
        <v>132</v>
      </c>
      <c r="C2" s="40"/>
      <c r="D2" s="42" t="s">
        <v>228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552</v>
      </c>
      <c r="F5" t="s">
        <v>0</v>
      </c>
    </row>
    <row r="6" spans="1:7" ht="34" x14ac:dyDescent="0.2">
      <c r="B6" t="s">
        <v>30</v>
      </c>
      <c r="E6" s="2">
        <v>0.7</v>
      </c>
      <c r="G6" s="24" t="s">
        <v>60</v>
      </c>
    </row>
    <row r="7" spans="1:7" x14ac:dyDescent="0.2">
      <c r="B7" t="s">
        <v>31</v>
      </c>
      <c r="E7" s="2">
        <v>6.3</v>
      </c>
    </row>
    <row r="8" spans="1:7" x14ac:dyDescent="0.2">
      <c r="B8" t="s">
        <v>93</v>
      </c>
      <c r="E8" s="2">
        <v>2.1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131</v>
      </c>
    </row>
    <row r="11" spans="1:7" x14ac:dyDescent="0.2">
      <c r="B11" t="s">
        <v>116</v>
      </c>
      <c r="E11" s="2" t="s">
        <v>133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8" ht="47.25" customHeight="1" x14ac:dyDescent="0.2">
      <c r="B18" s="131" t="s">
        <v>119</v>
      </c>
      <c r="C18" s="131"/>
      <c r="E18" s="11">
        <f>E5*E6</f>
        <v>386.4</v>
      </c>
      <c r="F18" t="s">
        <v>0</v>
      </c>
      <c r="G18" s="46"/>
    </row>
    <row r="19" spans="2:8" x14ac:dyDescent="0.2">
      <c r="B19" t="s">
        <v>94</v>
      </c>
      <c r="E19" s="82">
        <f>E5*(E7+E8)</f>
        <v>4636.8</v>
      </c>
      <c r="F19" t="s">
        <v>0</v>
      </c>
    </row>
    <row r="20" spans="2:8" x14ac:dyDescent="0.2">
      <c r="B20" t="s">
        <v>39</v>
      </c>
      <c r="D20" s="11">
        <f>E19/E18</f>
        <v>12.000000000000002</v>
      </c>
      <c r="E20" s="11">
        <f>D20</f>
        <v>12.000000000000002</v>
      </c>
      <c r="F20" t="s">
        <v>40</v>
      </c>
      <c r="G20" s="46"/>
    </row>
    <row r="21" spans="2:8" x14ac:dyDescent="0.2">
      <c r="B21" t="s">
        <v>101</v>
      </c>
      <c r="E21">
        <f>E20*3</f>
        <v>36.000000000000007</v>
      </c>
      <c r="F21" t="s">
        <v>34</v>
      </c>
      <c r="G21" s="46"/>
      <c r="H21" t="s">
        <v>106</v>
      </c>
    </row>
    <row r="22" spans="2:8" x14ac:dyDescent="0.2">
      <c r="B22" t="s">
        <v>61</v>
      </c>
      <c r="D22" s="4">
        <v>0.1</v>
      </c>
      <c r="E22" s="11">
        <f>E18*0.1</f>
        <v>38.64</v>
      </c>
      <c r="F22" t="s">
        <v>0</v>
      </c>
      <c r="G22" s="59"/>
    </row>
    <row r="23" spans="2:8" ht="36" customHeight="1" x14ac:dyDescent="0.2">
      <c r="B23" s="130" t="s">
        <v>272</v>
      </c>
      <c r="C23" s="130"/>
      <c r="D23" s="49">
        <v>12</v>
      </c>
      <c r="E23" s="51">
        <f>E18-E22</f>
        <v>347.76</v>
      </c>
      <c r="F23" s="49" t="s">
        <v>0</v>
      </c>
      <c r="G23" s="87" t="s">
        <v>233</v>
      </c>
    </row>
    <row r="24" spans="2:8" x14ac:dyDescent="0.2">
      <c r="B24" s="5"/>
      <c r="C24" s="5"/>
      <c r="E24" s="11"/>
      <c r="G24" s="86"/>
    </row>
    <row r="25" spans="2:8" x14ac:dyDescent="0.2">
      <c r="B25" t="s">
        <v>122</v>
      </c>
      <c r="D25" s="11">
        <f>E23/70</f>
        <v>4.968</v>
      </c>
      <c r="E25">
        <v>5</v>
      </c>
      <c r="F25" s="80">
        <f>E25*$D$23</f>
        <v>60</v>
      </c>
      <c r="G25" s="86">
        <f>F25</f>
        <v>60</v>
      </c>
    </row>
    <row r="26" spans="2:8" x14ac:dyDescent="0.2">
      <c r="B26" t="s">
        <v>124</v>
      </c>
      <c r="E26" s="2"/>
      <c r="F26" s="80">
        <f>E26*$D$23</f>
        <v>0</v>
      </c>
      <c r="G26" s="86">
        <f t="shared" ref="G26:G27" si="0">F26</f>
        <v>0</v>
      </c>
    </row>
    <row r="27" spans="2:8" x14ac:dyDescent="0.2">
      <c r="B27" t="s">
        <v>125</v>
      </c>
      <c r="E27" s="2"/>
      <c r="F27" s="80">
        <f>E27*$D$23</f>
        <v>0</v>
      </c>
      <c r="G27" s="86">
        <f t="shared" si="0"/>
        <v>0</v>
      </c>
    </row>
    <row r="29" spans="2:8" x14ac:dyDescent="0.2">
      <c r="B29" s="40" t="s">
        <v>123</v>
      </c>
      <c r="C29" s="40"/>
      <c r="D29" s="40"/>
      <c r="E29" s="56">
        <f>SUM(F25:F27)</f>
        <v>60</v>
      </c>
    </row>
    <row r="30" spans="2:8" ht="38.25" customHeight="1" x14ac:dyDescent="0.2">
      <c r="B30" s="131" t="s">
        <v>126</v>
      </c>
      <c r="C30" s="131"/>
      <c r="D30">
        <f>E29*0.25</f>
        <v>15</v>
      </c>
      <c r="E30" s="11">
        <v>15</v>
      </c>
      <c r="G30" s="5"/>
    </row>
    <row r="32" spans="2:8" x14ac:dyDescent="0.2">
      <c r="B32" s="16" t="s">
        <v>64</v>
      </c>
      <c r="C32" s="16"/>
      <c r="D32" s="16"/>
      <c r="E32" s="16"/>
      <c r="F32" s="16"/>
    </row>
    <row r="33" spans="2:7" x14ac:dyDescent="0.2">
      <c r="B33" s="40"/>
      <c r="C33" s="40"/>
      <c r="D33" s="40"/>
      <c r="E33" s="40"/>
      <c r="F33" s="40"/>
      <c r="G33" s="136" t="s">
        <v>104</v>
      </c>
    </row>
    <row r="34" spans="2:7" x14ac:dyDescent="0.2">
      <c r="B34" t="s">
        <v>28</v>
      </c>
      <c r="E34" s="84">
        <v>8300000</v>
      </c>
      <c r="F34" s="40"/>
      <c r="G34" s="136"/>
    </row>
    <row r="35" spans="2:7" x14ac:dyDescent="0.2">
      <c r="B35" t="s">
        <v>107</v>
      </c>
      <c r="E35" s="84">
        <f>(E34-DATOS!L66)*DATOS!M66</f>
        <v>269025.24231</v>
      </c>
      <c r="F35" s="40"/>
      <c r="G35" s="40"/>
    </row>
    <row r="36" spans="2:7" x14ac:dyDescent="0.2">
      <c r="B36" t="s">
        <v>65</v>
      </c>
      <c r="E36" s="84">
        <f>G56*DATOS!H31</f>
        <v>70370029.439999998</v>
      </c>
      <c r="F36" s="40"/>
      <c r="G36" s="40"/>
    </row>
    <row r="37" spans="2:7" x14ac:dyDescent="0.2">
      <c r="B37" t="s">
        <v>67</v>
      </c>
      <c r="E37" s="84">
        <f>E36*DATOS!B39</f>
        <v>5629602.3552000001</v>
      </c>
      <c r="F37" s="40"/>
      <c r="G37" s="40"/>
    </row>
    <row r="38" spans="2:7" x14ac:dyDescent="0.2">
      <c r="B38" t="s">
        <v>86</v>
      </c>
      <c r="E38" s="84">
        <f>E36*DATOS!B49</f>
        <v>4925902.0608000001</v>
      </c>
      <c r="F38" s="40"/>
      <c r="G38" s="40"/>
    </row>
    <row r="39" spans="2:7" x14ac:dyDescent="0.2">
      <c r="B39" t="s">
        <v>68</v>
      </c>
      <c r="E39" s="84">
        <f>E36*DATOS!B83</f>
        <v>4574051.9135999996</v>
      </c>
      <c r="F39" s="40"/>
      <c r="G39" s="40"/>
    </row>
    <row r="40" spans="2:7" x14ac:dyDescent="0.2">
      <c r="B40" t="s">
        <v>129</v>
      </c>
      <c r="E40" s="84">
        <f>E36*DATOS!B91</f>
        <v>10555504.415999999</v>
      </c>
      <c r="F40" s="40"/>
      <c r="G40" s="40"/>
    </row>
    <row r="41" spans="2:7" x14ac:dyDescent="0.2">
      <c r="E41" s="84"/>
      <c r="F41" s="40"/>
      <c r="G41" s="40"/>
    </row>
    <row r="42" spans="2:7" x14ac:dyDescent="0.2">
      <c r="B42" s="54" t="s">
        <v>69</v>
      </c>
      <c r="C42" s="54"/>
      <c r="D42" s="54"/>
      <c r="E42" s="103">
        <f>SUM(E34:E40)</f>
        <v>104624115.42791</v>
      </c>
      <c r="F42" s="40"/>
      <c r="G42" s="40"/>
    </row>
    <row r="43" spans="2:7" x14ac:dyDescent="0.2">
      <c r="B43" s="40"/>
      <c r="C43" s="40"/>
      <c r="D43" s="40"/>
      <c r="E43" s="40"/>
      <c r="F43" s="40"/>
      <c r="G43" s="40"/>
    </row>
    <row r="44" spans="2:7" x14ac:dyDescent="0.2">
      <c r="B44" s="40"/>
      <c r="C44" s="40" t="s">
        <v>120</v>
      </c>
    </row>
    <row r="45" spans="2:7" ht="85" x14ac:dyDescent="0.2">
      <c r="B45" s="12"/>
      <c r="C45" s="104" t="s">
        <v>46</v>
      </c>
      <c r="D45" s="104" t="s">
        <v>47</v>
      </c>
      <c r="E45" s="104" t="s">
        <v>48</v>
      </c>
    </row>
    <row r="46" spans="2:7" x14ac:dyDescent="0.2">
      <c r="B46" s="12" t="s">
        <v>49</v>
      </c>
      <c r="C46" s="12"/>
      <c r="D46" s="12"/>
      <c r="E46" s="44">
        <f>E30*20*1.1</f>
        <v>330</v>
      </c>
    </row>
    <row r="47" spans="2:7" x14ac:dyDescent="0.2">
      <c r="B47" s="12" t="s">
        <v>50</v>
      </c>
      <c r="C47" s="43">
        <f>($E$25*70)+($E$26*90)+($E$27*60)</f>
        <v>350</v>
      </c>
      <c r="D47" s="44">
        <f>$E$22</f>
        <v>38.64</v>
      </c>
      <c r="E47" s="12"/>
    </row>
    <row r="48" spans="2:7" x14ac:dyDescent="0.2">
      <c r="B48" s="12" t="s">
        <v>51</v>
      </c>
      <c r="C48" s="43">
        <f t="shared" ref="C48:C58" si="1">($E$25*70)+($E$26*90)+($E$27*60)</f>
        <v>350</v>
      </c>
      <c r="D48" s="44">
        <f t="shared" ref="D48:D58" si="2">$E$22</f>
        <v>38.64</v>
      </c>
      <c r="E48" s="12"/>
    </row>
    <row r="49" spans="2:7" x14ac:dyDescent="0.2">
      <c r="B49" s="12" t="s">
        <v>52</v>
      </c>
      <c r="C49" s="43">
        <f t="shared" si="1"/>
        <v>350</v>
      </c>
      <c r="D49" s="44">
        <f t="shared" si="2"/>
        <v>38.64</v>
      </c>
      <c r="E49" s="12"/>
    </row>
    <row r="50" spans="2:7" x14ac:dyDescent="0.2">
      <c r="B50" s="12" t="s">
        <v>53</v>
      </c>
      <c r="C50" s="43">
        <f t="shared" si="1"/>
        <v>350</v>
      </c>
      <c r="D50" s="44">
        <f t="shared" si="2"/>
        <v>38.64</v>
      </c>
      <c r="E50" s="12"/>
    </row>
    <row r="51" spans="2:7" x14ac:dyDescent="0.2">
      <c r="B51" s="12" t="s">
        <v>54</v>
      </c>
      <c r="C51" s="43">
        <f t="shared" si="1"/>
        <v>350</v>
      </c>
      <c r="D51" s="44">
        <f t="shared" si="2"/>
        <v>38.64</v>
      </c>
      <c r="E51" s="12"/>
    </row>
    <row r="52" spans="2:7" x14ac:dyDescent="0.2">
      <c r="B52" s="12" t="s">
        <v>55</v>
      </c>
      <c r="C52" s="43">
        <f t="shared" si="1"/>
        <v>350</v>
      </c>
      <c r="D52" s="44">
        <f t="shared" si="2"/>
        <v>38.64</v>
      </c>
      <c r="E52" s="12"/>
    </row>
    <row r="53" spans="2:7" x14ac:dyDescent="0.2">
      <c r="B53" s="12" t="s">
        <v>56</v>
      </c>
      <c r="C53" s="43">
        <f t="shared" si="1"/>
        <v>350</v>
      </c>
      <c r="D53" s="44">
        <f t="shared" si="2"/>
        <v>38.64</v>
      </c>
      <c r="E53" s="12"/>
    </row>
    <row r="54" spans="2:7" x14ac:dyDescent="0.2">
      <c r="B54" s="12" t="s">
        <v>57</v>
      </c>
      <c r="C54" s="43">
        <f t="shared" si="1"/>
        <v>350</v>
      </c>
      <c r="D54" s="44">
        <f t="shared" si="2"/>
        <v>38.64</v>
      </c>
      <c r="E54" s="12"/>
    </row>
    <row r="55" spans="2:7" x14ac:dyDescent="0.2">
      <c r="B55" s="12" t="s">
        <v>58</v>
      </c>
      <c r="C55" s="43">
        <f t="shared" si="1"/>
        <v>350</v>
      </c>
      <c r="D55" s="44">
        <f t="shared" si="2"/>
        <v>38.64</v>
      </c>
      <c r="E55" s="12"/>
      <c r="G55" s="91" t="s">
        <v>239</v>
      </c>
    </row>
    <row r="56" spans="2:7" x14ac:dyDescent="0.2">
      <c r="B56" s="14" t="s">
        <v>59</v>
      </c>
      <c r="C56" s="43">
        <f t="shared" si="1"/>
        <v>350</v>
      </c>
      <c r="D56" s="44">
        <f t="shared" si="2"/>
        <v>38.64</v>
      </c>
      <c r="E56" s="14"/>
      <c r="G56" s="90">
        <f>C59+D59+E59</f>
        <v>4216.3999999999996</v>
      </c>
    </row>
    <row r="57" spans="2:7" x14ac:dyDescent="0.2">
      <c r="B57" s="14" t="s">
        <v>134</v>
      </c>
      <c r="C57" s="43">
        <f t="shared" si="1"/>
        <v>350</v>
      </c>
      <c r="D57" s="44">
        <f t="shared" si="2"/>
        <v>38.64</v>
      </c>
      <c r="E57" s="14"/>
    </row>
    <row r="58" spans="2:7" x14ac:dyDescent="0.2">
      <c r="B58" s="14" t="s">
        <v>135</v>
      </c>
      <c r="C58" s="43">
        <f t="shared" si="1"/>
        <v>350</v>
      </c>
      <c r="D58" s="44">
        <f t="shared" si="2"/>
        <v>38.64</v>
      </c>
      <c r="E58" s="14"/>
      <c r="G58" s="83" t="s">
        <v>62</v>
      </c>
    </row>
    <row r="59" spans="2:7" x14ac:dyDescent="0.2">
      <c r="B59" s="12" t="s">
        <v>25</v>
      </c>
      <c r="C59" s="63">
        <f>SUM(C46:C56)</f>
        <v>3500</v>
      </c>
      <c r="D59" s="63">
        <f>SUM(D46:D56)</f>
        <v>386.39999999999992</v>
      </c>
      <c r="E59" s="64">
        <f>SUM(E46:E56)</f>
        <v>330</v>
      </c>
      <c r="G59" s="83">
        <f>SUM(C59:D59)</f>
        <v>3886.4</v>
      </c>
    </row>
    <row r="61" spans="2:7" x14ac:dyDescent="0.2">
      <c r="B61" s="16" t="s">
        <v>70</v>
      </c>
      <c r="C61" s="16"/>
      <c r="D61" s="16"/>
      <c r="E61" s="16"/>
      <c r="F61" s="16"/>
      <c r="G61" s="16"/>
    </row>
    <row r="63" spans="2:7" x14ac:dyDescent="0.2">
      <c r="B63" t="s">
        <v>108</v>
      </c>
      <c r="E63" s="58">
        <f>E42/C59</f>
        <v>29892.604407974286</v>
      </c>
    </row>
    <row r="64" spans="2:7" x14ac:dyDescent="0.2">
      <c r="B64" s="40" t="s">
        <v>127</v>
      </c>
      <c r="C64" s="40"/>
      <c r="D64" s="40"/>
      <c r="E64" s="53"/>
      <c r="G64" s="35" t="s">
        <v>223</v>
      </c>
    </row>
    <row r="65" spans="2:7" x14ac:dyDescent="0.2">
      <c r="B65" s="40" t="s">
        <v>128</v>
      </c>
      <c r="C65" s="40"/>
      <c r="D65" s="52">
        <v>1</v>
      </c>
      <c r="E65" s="53">
        <f>$E$63*70*D65</f>
        <v>2092482.3085582</v>
      </c>
      <c r="G65" s="77">
        <v>1020000</v>
      </c>
    </row>
    <row r="66" spans="2:7" x14ac:dyDescent="0.2">
      <c r="B66" s="40" t="s">
        <v>110</v>
      </c>
      <c r="C66" s="40"/>
      <c r="D66" s="69"/>
      <c r="E66" s="53"/>
      <c r="G66" s="77">
        <v>2040000</v>
      </c>
    </row>
  </sheetData>
  <mergeCells count="4">
    <mergeCell ref="B23:C23"/>
    <mergeCell ref="G33:G34"/>
    <mergeCell ref="B18:C18"/>
    <mergeCell ref="B30:C30"/>
  </mergeCells>
  <pageMargins left="0.7" right="0.7" top="0.75" bottom="0.75" header="0.3" footer="0.3"/>
  <pageSetup scale="58" fitToWidth="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  <pageSetUpPr fitToPage="1"/>
  </sheetPr>
  <dimension ref="A1:K70"/>
  <sheetViews>
    <sheetView showGridLines="0" zoomScale="90" zoomScaleNormal="9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7" width="43.33203125" customWidth="1"/>
    <col min="8" max="8" width="19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0.33203125" customWidth="1"/>
    <col min="14" max="14" width="18.83203125" customWidth="1"/>
  </cols>
  <sheetData>
    <row r="1" spans="1:7" x14ac:dyDescent="0.2">
      <c r="A1" s="40" t="s">
        <v>28</v>
      </c>
      <c r="B1" s="101" t="s">
        <v>232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166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ht="34" x14ac:dyDescent="0.2">
      <c r="B5" t="s">
        <v>111</v>
      </c>
      <c r="E5" s="2">
        <v>141.69999999999999</v>
      </c>
      <c r="F5" t="s">
        <v>0</v>
      </c>
      <c r="G5" s="24" t="s">
        <v>60</v>
      </c>
    </row>
    <row r="6" spans="1:7" x14ac:dyDescent="0.2">
      <c r="B6" t="s">
        <v>30</v>
      </c>
      <c r="E6" s="2">
        <v>0.8</v>
      </c>
      <c r="G6" s="24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>
        <v>21</v>
      </c>
      <c r="F9" t="s">
        <v>34</v>
      </c>
    </row>
    <row r="10" spans="1:7" x14ac:dyDescent="0.2">
      <c r="B10" t="s">
        <v>95</v>
      </c>
      <c r="E10" s="2" t="s">
        <v>131</v>
      </c>
    </row>
    <row r="11" spans="1:7" x14ac:dyDescent="0.2">
      <c r="B11" t="s">
        <v>116</v>
      </c>
      <c r="E11" s="2" t="s">
        <v>177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97</v>
      </c>
    </row>
    <row r="18" spans="1:8" ht="34.5" customHeight="1" x14ac:dyDescent="0.2">
      <c r="B18" s="133" t="s">
        <v>119</v>
      </c>
      <c r="C18" s="133"/>
      <c r="E18" s="11">
        <f>E5*E6</f>
        <v>113.36</v>
      </c>
      <c r="F18" t="s">
        <v>0</v>
      </c>
      <c r="G18" s="46"/>
    </row>
    <row r="19" spans="1:8" x14ac:dyDescent="0.2">
      <c r="B19" t="s">
        <v>94</v>
      </c>
      <c r="E19" s="82">
        <f>E5*(E7+E8)</f>
        <v>566.79999999999995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G21" s="46"/>
      <c r="H21" t="s">
        <v>106</v>
      </c>
    </row>
    <row r="22" spans="1:8" ht="34" customHeight="1" x14ac:dyDescent="0.2">
      <c r="B22" s="5" t="s">
        <v>102</v>
      </c>
      <c r="C22" s="5"/>
      <c r="E22" s="11">
        <f>E18-(5*8)</f>
        <v>73.36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11.336</v>
      </c>
      <c r="F24" t="s">
        <v>0</v>
      </c>
      <c r="G24" s="5"/>
    </row>
    <row r="25" spans="1:8" ht="36.75" customHeight="1" x14ac:dyDescent="0.2">
      <c r="B25" s="134" t="s">
        <v>176</v>
      </c>
      <c r="C25" s="134"/>
      <c r="D25" s="49">
        <v>3</v>
      </c>
      <c r="E25" s="51">
        <f>E18-E24</f>
        <v>102.024</v>
      </c>
      <c r="F25" s="49" t="s">
        <v>0</v>
      </c>
    </row>
    <row r="26" spans="1:8" ht="17" x14ac:dyDescent="0.2">
      <c r="G26" s="87" t="s">
        <v>233</v>
      </c>
    </row>
    <row r="27" spans="1:8" x14ac:dyDescent="0.2">
      <c r="B27" t="s">
        <v>122</v>
      </c>
      <c r="D27" s="11">
        <f>E25/70</f>
        <v>1.4574857142857143</v>
      </c>
      <c r="F27" s="40">
        <f>$D$25*E27</f>
        <v>0</v>
      </c>
      <c r="G27" s="86">
        <f>F27+F31</f>
        <v>0</v>
      </c>
    </row>
    <row r="28" spans="1:8" x14ac:dyDescent="0.2">
      <c r="A28" s="137"/>
      <c r="B28" t="s">
        <v>124</v>
      </c>
      <c r="D28" s="11">
        <f>E25/90</f>
        <v>1.1335999999999999</v>
      </c>
      <c r="E28" s="2">
        <v>1</v>
      </c>
      <c r="F28" s="40">
        <f>$D$25*E28</f>
        <v>3</v>
      </c>
      <c r="G28" s="86">
        <f>F28+F32</f>
        <v>3</v>
      </c>
    </row>
    <row r="29" spans="1:8" x14ac:dyDescent="0.2">
      <c r="A29" s="137"/>
      <c r="B29" t="s">
        <v>125</v>
      </c>
      <c r="D29" s="11">
        <f>E25/60</f>
        <v>1.7003999999999999</v>
      </c>
      <c r="E29" s="2"/>
      <c r="F29" s="40">
        <f>$D$25*E29</f>
        <v>0</v>
      </c>
      <c r="G29" s="86">
        <f>F29+F33</f>
        <v>2</v>
      </c>
    </row>
    <row r="30" spans="1:8" ht="35.25" customHeight="1" x14ac:dyDescent="0.2">
      <c r="A30" s="137"/>
      <c r="B30" s="138" t="s">
        <v>100</v>
      </c>
      <c r="C30" s="138"/>
      <c r="D30" s="72">
        <v>2</v>
      </c>
      <c r="E30" s="73">
        <f>E22-E24</f>
        <v>62.024000000000001</v>
      </c>
      <c r="F30" s="72" t="s">
        <v>0</v>
      </c>
      <c r="G30" s="46"/>
    </row>
    <row r="31" spans="1:8" x14ac:dyDescent="0.2">
      <c r="A31" s="137"/>
      <c r="B31" t="s">
        <v>122</v>
      </c>
      <c r="D31">
        <f>E30/70</f>
        <v>0.88605714285714288</v>
      </c>
      <c r="F31" s="40">
        <f>$D$30*E31</f>
        <v>0</v>
      </c>
    </row>
    <row r="32" spans="1:8" x14ac:dyDescent="0.2">
      <c r="B32" t="s">
        <v>124</v>
      </c>
      <c r="D32">
        <f>E30/90</f>
        <v>0.68915555555555552</v>
      </c>
      <c r="F32" s="40">
        <f>$D$30*E32</f>
        <v>0</v>
      </c>
    </row>
    <row r="33" spans="2:8" x14ac:dyDescent="0.2">
      <c r="B33" t="s">
        <v>125</v>
      </c>
      <c r="D33">
        <f>E30/60</f>
        <v>1.0337333333333334</v>
      </c>
      <c r="E33">
        <v>1</v>
      </c>
      <c r="F33" s="40">
        <f>$D$30*E33</f>
        <v>2</v>
      </c>
    </row>
    <row r="34" spans="2:8" x14ac:dyDescent="0.2">
      <c r="G34" s="41"/>
      <c r="H34" s="86"/>
    </row>
    <row r="35" spans="2:8" x14ac:dyDescent="0.2">
      <c r="B35" s="40" t="s">
        <v>123</v>
      </c>
      <c r="C35" s="40"/>
      <c r="D35" s="40"/>
      <c r="E35" s="56">
        <f>SUM(F27:F33)</f>
        <v>5</v>
      </c>
    </row>
    <row r="36" spans="2:8" x14ac:dyDescent="0.2">
      <c r="B36" t="s">
        <v>126</v>
      </c>
      <c r="D36" s="11">
        <f>E35*0.25</f>
        <v>1.25</v>
      </c>
      <c r="E36">
        <v>2</v>
      </c>
    </row>
    <row r="38" spans="2:8" x14ac:dyDescent="0.2">
      <c r="B38" s="16" t="s">
        <v>64</v>
      </c>
      <c r="C38" s="16"/>
      <c r="D38" s="16"/>
      <c r="E38" s="16"/>
      <c r="F38" s="16"/>
    </row>
    <row r="39" spans="2:8" ht="16.5" customHeight="1" x14ac:dyDescent="0.2">
      <c r="B39" s="40"/>
      <c r="C39" s="40"/>
      <c r="D39" s="40"/>
      <c r="E39" s="40"/>
      <c r="F39" s="40"/>
      <c r="G39" s="24" t="s">
        <v>104</v>
      </c>
      <c r="H39" s="40"/>
    </row>
    <row r="40" spans="2:8" x14ac:dyDescent="0.2">
      <c r="B40" t="s">
        <v>28</v>
      </c>
      <c r="E40" s="62">
        <v>4500000</v>
      </c>
      <c r="F40" s="40"/>
      <c r="G40" s="40"/>
    </row>
    <row r="41" spans="2:8" x14ac:dyDescent="0.2">
      <c r="B41" t="s">
        <v>107</v>
      </c>
      <c r="E41" s="84">
        <f>(E40-DATOS!L65)*DATOS!M65</f>
        <v>141113.68831999999</v>
      </c>
    </row>
    <row r="42" spans="2:8" x14ac:dyDescent="0.2">
      <c r="B42" t="s">
        <v>65</v>
      </c>
      <c r="E42" s="84">
        <f>G60*DATOS!H31</f>
        <v>7913874.5280000009</v>
      </c>
      <c r="G42" s="40"/>
    </row>
    <row r="43" spans="2:8" x14ac:dyDescent="0.2">
      <c r="B43" t="s">
        <v>67</v>
      </c>
      <c r="E43" s="84">
        <f>E42*DATOS!B39</f>
        <v>633109.96224000014</v>
      </c>
    </row>
    <row r="44" spans="2:8" x14ac:dyDescent="0.2">
      <c r="B44" t="s">
        <v>86</v>
      </c>
      <c r="E44" s="84">
        <f>E42*DATOS!B49</f>
        <v>553971.21696000011</v>
      </c>
    </row>
    <row r="45" spans="2:8" x14ac:dyDescent="0.2">
      <c r="B45" t="s">
        <v>68</v>
      </c>
      <c r="E45" s="84">
        <f>E42*DATOS!B83</f>
        <v>514401.84432000009</v>
      </c>
    </row>
    <row r="46" spans="2:8" x14ac:dyDescent="0.2">
      <c r="B46" t="s">
        <v>129</v>
      </c>
      <c r="E46" s="84">
        <f>E42*DATOS!B91</f>
        <v>1187081.1792000001</v>
      </c>
    </row>
    <row r="47" spans="2:8" x14ac:dyDescent="0.2">
      <c r="E47" s="84"/>
    </row>
    <row r="48" spans="2:8" x14ac:dyDescent="0.2">
      <c r="B48" s="54" t="s">
        <v>69</v>
      </c>
      <c r="C48" s="54"/>
      <c r="D48" s="54"/>
      <c r="E48" s="103">
        <f>SUM(E40:E46)</f>
        <v>15443552.419039998</v>
      </c>
    </row>
    <row r="50" spans="2:11" x14ac:dyDescent="0.2">
      <c r="B50" s="40"/>
      <c r="C50" s="40" t="s">
        <v>120</v>
      </c>
    </row>
    <row r="51" spans="2:11" ht="85" x14ac:dyDescent="0.2">
      <c r="B51" s="12"/>
      <c r="C51" s="13" t="s">
        <v>46</v>
      </c>
      <c r="D51" s="13" t="s">
        <v>47</v>
      </c>
      <c r="E51" s="13" t="s">
        <v>48</v>
      </c>
    </row>
    <row r="52" spans="2:11" x14ac:dyDescent="0.2">
      <c r="B52" s="12" t="s">
        <v>49</v>
      </c>
      <c r="C52" s="12"/>
      <c r="D52" s="12"/>
      <c r="E52" s="44">
        <f>D36*20*1.1</f>
        <v>27.500000000000004</v>
      </c>
    </row>
    <row r="53" spans="2:11" x14ac:dyDescent="0.2">
      <c r="B53" s="12" t="s">
        <v>50</v>
      </c>
      <c r="C53" s="43">
        <f>($E$29*60)+($E$27*70)+($E$28*90)</f>
        <v>90</v>
      </c>
      <c r="D53" s="44">
        <f>$E$24</f>
        <v>11.336</v>
      </c>
      <c r="E53" s="12"/>
    </row>
    <row r="54" spans="2:11" x14ac:dyDescent="0.2">
      <c r="B54" s="12" t="s">
        <v>51</v>
      </c>
      <c r="C54" s="43">
        <f t="shared" ref="C54:C55" si="0">($E$29*60)+($E$27*70)+($E$28*90)</f>
        <v>90</v>
      </c>
      <c r="D54" s="44">
        <f>$E$24</f>
        <v>11.336</v>
      </c>
      <c r="E54" s="12"/>
      <c r="I54" s="6"/>
      <c r="J54" s="6"/>
      <c r="K54" s="108"/>
    </row>
    <row r="55" spans="2:11" x14ac:dyDescent="0.2">
      <c r="B55" s="12" t="s">
        <v>52</v>
      </c>
      <c r="C55" s="43">
        <f t="shared" si="0"/>
        <v>90</v>
      </c>
      <c r="D55" s="44">
        <f>$E$24</f>
        <v>11.336</v>
      </c>
      <c r="E55" s="12"/>
      <c r="I55" s="6"/>
      <c r="J55" s="6"/>
      <c r="K55" s="108"/>
    </row>
    <row r="56" spans="2:11" x14ac:dyDescent="0.2">
      <c r="B56" s="12" t="s">
        <v>53</v>
      </c>
      <c r="C56" s="43">
        <f>($E$31*70)+($E$32*90)+($E$33*60)</f>
        <v>60</v>
      </c>
      <c r="D56" s="44">
        <f>$E$24</f>
        <v>11.336</v>
      </c>
      <c r="E56" s="12"/>
      <c r="I56" s="6"/>
      <c r="J56" s="6"/>
      <c r="K56" s="108"/>
    </row>
    <row r="57" spans="2:11" x14ac:dyDescent="0.2">
      <c r="B57" s="12" t="s">
        <v>54</v>
      </c>
      <c r="C57" s="43">
        <f>($E$31*70)+($E$32*90)+($E$33*60)</f>
        <v>60</v>
      </c>
      <c r="D57" s="44">
        <f t="shared" ref="D57" si="1">$E$24</f>
        <v>11.336</v>
      </c>
      <c r="E57" s="12"/>
      <c r="I57" s="6"/>
      <c r="J57" s="6"/>
      <c r="K57" s="108"/>
    </row>
    <row r="58" spans="2:11" x14ac:dyDescent="0.2">
      <c r="B58" s="12" t="s">
        <v>55</v>
      </c>
      <c r="C58" s="43"/>
      <c r="D58" s="44"/>
      <c r="E58" s="12"/>
      <c r="I58" s="6"/>
      <c r="J58" s="6"/>
      <c r="K58" s="108"/>
    </row>
    <row r="59" spans="2:11" x14ac:dyDescent="0.2">
      <c r="B59" s="12" t="s">
        <v>56</v>
      </c>
      <c r="C59" s="43"/>
      <c r="D59" s="44"/>
      <c r="E59" s="12"/>
      <c r="G59" s="91" t="s">
        <v>239</v>
      </c>
      <c r="I59" s="6"/>
      <c r="J59" s="6"/>
      <c r="K59" s="108"/>
    </row>
    <row r="60" spans="2:11" x14ac:dyDescent="0.2">
      <c r="B60" s="12" t="s">
        <v>57</v>
      </c>
      <c r="C60" s="43"/>
      <c r="D60" s="44"/>
      <c r="E60" s="12"/>
      <c r="G60" s="90">
        <f>C63+D63+E63</f>
        <v>474.18</v>
      </c>
      <c r="J60" s="6"/>
      <c r="K60" s="108"/>
    </row>
    <row r="61" spans="2:11" x14ac:dyDescent="0.2">
      <c r="B61" s="12" t="s">
        <v>58</v>
      </c>
      <c r="C61" s="43"/>
      <c r="D61" s="44"/>
      <c r="E61" s="12"/>
      <c r="J61" s="6"/>
      <c r="K61" s="108"/>
    </row>
    <row r="62" spans="2:11" x14ac:dyDescent="0.2">
      <c r="B62" s="14" t="s">
        <v>59</v>
      </c>
      <c r="C62" s="43"/>
      <c r="D62" s="44"/>
      <c r="E62" s="14"/>
      <c r="G62" s="83" t="s">
        <v>62</v>
      </c>
    </row>
    <row r="63" spans="2:11" x14ac:dyDescent="0.2">
      <c r="B63" s="12" t="s">
        <v>25</v>
      </c>
      <c r="C63" s="63">
        <f>SUM(C52:C62)</f>
        <v>390</v>
      </c>
      <c r="D63" s="63">
        <f t="shared" ref="D63:E63" si="2">SUM(D52:D62)</f>
        <v>56.68</v>
      </c>
      <c r="E63" s="64">
        <f t="shared" si="2"/>
        <v>27.500000000000004</v>
      </c>
      <c r="G63" s="83">
        <f>SUM(C63:D63)</f>
        <v>446.68</v>
      </c>
    </row>
    <row r="64" spans="2:11" x14ac:dyDescent="0.2">
      <c r="C64" s="6"/>
      <c r="D64" s="6"/>
      <c r="E64" s="108"/>
    </row>
    <row r="65" spans="2:7" x14ac:dyDescent="0.2">
      <c r="B65" s="16" t="s">
        <v>70</v>
      </c>
      <c r="C65" s="16"/>
      <c r="D65" s="16"/>
      <c r="E65" s="16"/>
      <c r="F65" s="16"/>
      <c r="G65" s="16"/>
    </row>
    <row r="67" spans="2:7" x14ac:dyDescent="0.2">
      <c r="B67" t="s">
        <v>108</v>
      </c>
      <c r="E67" s="58">
        <f>E48/C63</f>
        <v>39598.852356512813</v>
      </c>
    </row>
    <row r="68" spans="2:7" x14ac:dyDescent="0.2">
      <c r="B68" s="40" t="s">
        <v>127</v>
      </c>
      <c r="C68" s="40"/>
      <c r="D68" s="40"/>
      <c r="E68" s="88">
        <f>E67*90*D68</f>
        <v>0</v>
      </c>
      <c r="G68" s="3" t="s">
        <v>223</v>
      </c>
    </row>
    <row r="69" spans="2:7" x14ac:dyDescent="0.2">
      <c r="B69" s="40" t="s">
        <v>128</v>
      </c>
      <c r="C69" s="40"/>
      <c r="D69" s="52">
        <v>1</v>
      </c>
      <c r="E69" s="88">
        <f>E67*90*D69</f>
        <v>3563896.7120861532</v>
      </c>
      <c r="G69" s="109">
        <v>1020000</v>
      </c>
    </row>
    <row r="70" spans="2:7" x14ac:dyDescent="0.2">
      <c r="B70" s="40" t="s">
        <v>110</v>
      </c>
      <c r="C70" s="40"/>
      <c r="D70" s="74">
        <v>1</v>
      </c>
      <c r="E70" s="88">
        <f>E67*60*D70</f>
        <v>2375931.1413907688</v>
      </c>
      <c r="G70" s="109">
        <v>2040000</v>
      </c>
    </row>
  </sheetData>
  <mergeCells count="4">
    <mergeCell ref="A28:A31"/>
    <mergeCell ref="B18:C18"/>
    <mergeCell ref="B30:C30"/>
    <mergeCell ref="B25:C25"/>
  </mergeCells>
  <pageMargins left="0.7" right="0.7" top="0.75" bottom="0.75" header="0.3" footer="0.3"/>
  <pageSetup scale="54" fitToWidth="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F3710-75C2-4332-9D6C-AB73F26A6ED4}">
  <sheetPr>
    <tabColor theme="7" tint="0.79998168889431442"/>
    <pageSetUpPr fitToPage="1"/>
  </sheetPr>
  <dimension ref="A1:O69"/>
  <sheetViews>
    <sheetView showGridLines="0" zoomScale="80" zoomScaleNormal="80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" customWidth="1"/>
    <col min="14" max="14" width="18.83203125" customWidth="1"/>
  </cols>
  <sheetData>
    <row r="1" spans="1:15" x14ac:dyDescent="0.2">
      <c r="A1" s="40" t="s">
        <v>28</v>
      </c>
      <c r="B1" s="101" t="s">
        <v>234</v>
      </c>
      <c r="C1" s="101"/>
      <c r="D1" s="102" t="s">
        <v>92</v>
      </c>
      <c r="E1" s="47"/>
      <c r="F1" s="47"/>
      <c r="G1" s="47"/>
    </row>
    <row r="2" spans="1:15" x14ac:dyDescent="0.2">
      <c r="B2" s="40" t="s">
        <v>167</v>
      </c>
      <c r="C2" s="40"/>
      <c r="D2" s="42" t="s">
        <v>228</v>
      </c>
    </row>
    <row r="3" spans="1:15" x14ac:dyDescent="0.2">
      <c r="B3" s="40"/>
      <c r="C3" s="40"/>
      <c r="H3" s="5"/>
    </row>
    <row r="4" spans="1:15" x14ac:dyDescent="0.2">
      <c r="B4" s="16" t="s">
        <v>63</v>
      </c>
      <c r="C4" s="16"/>
      <c r="D4" s="16"/>
      <c r="E4" s="16"/>
      <c r="F4" s="16"/>
      <c r="G4" s="16"/>
      <c r="H4" s="5"/>
      <c r="I4" s="5"/>
      <c r="J4" s="5"/>
      <c r="K4" s="5"/>
      <c r="L4" s="5"/>
      <c r="M4" s="5"/>
      <c r="N4" s="5"/>
      <c r="O4" s="5"/>
    </row>
    <row r="5" spans="1:15" x14ac:dyDescent="0.2">
      <c r="B5" t="s">
        <v>111</v>
      </c>
      <c r="E5" s="2">
        <v>319.5</v>
      </c>
      <c r="F5" t="s">
        <v>0</v>
      </c>
      <c r="G5" s="139" t="s">
        <v>60</v>
      </c>
    </row>
    <row r="6" spans="1:15" x14ac:dyDescent="0.2">
      <c r="B6" t="s">
        <v>30</v>
      </c>
      <c r="E6" s="2">
        <v>0.8</v>
      </c>
      <c r="G6" s="139"/>
    </row>
    <row r="7" spans="1:15" x14ac:dyDescent="0.2">
      <c r="B7" t="s">
        <v>31</v>
      </c>
      <c r="E7" s="2">
        <v>2.4</v>
      </c>
    </row>
    <row r="8" spans="1:15" x14ac:dyDescent="0.2">
      <c r="B8" t="s">
        <v>93</v>
      </c>
      <c r="E8" s="2">
        <v>2.4</v>
      </c>
    </row>
    <row r="9" spans="1:15" x14ac:dyDescent="0.2">
      <c r="B9" t="s">
        <v>33</v>
      </c>
      <c r="E9" s="2">
        <v>24</v>
      </c>
      <c r="F9" t="s">
        <v>34</v>
      </c>
    </row>
    <row r="10" spans="1:15" x14ac:dyDescent="0.2">
      <c r="B10" t="s">
        <v>95</v>
      </c>
      <c r="E10" s="2" t="s">
        <v>32</v>
      </c>
    </row>
    <row r="11" spans="1:15" x14ac:dyDescent="0.2">
      <c r="B11" t="s">
        <v>116</v>
      </c>
      <c r="E11" s="2" t="s">
        <v>169</v>
      </c>
      <c r="F11" t="s">
        <v>34</v>
      </c>
      <c r="G11" s="46"/>
    </row>
    <row r="12" spans="1:15" ht="34" x14ac:dyDescent="0.2">
      <c r="B12" t="s">
        <v>35</v>
      </c>
      <c r="E12" s="45" t="s">
        <v>117</v>
      </c>
      <c r="G12" s="46"/>
    </row>
    <row r="13" spans="1:15" x14ac:dyDescent="0.2">
      <c r="B13" t="s">
        <v>36</v>
      </c>
      <c r="E13">
        <v>0</v>
      </c>
      <c r="F13" t="s">
        <v>34</v>
      </c>
    </row>
    <row r="14" spans="1:15" x14ac:dyDescent="0.2">
      <c r="B14" t="s">
        <v>37</v>
      </c>
      <c r="E14">
        <v>0</v>
      </c>
      <c r="F14" t="s">
        <v>34</v>
      </c>
    </row>
    <row r="15" spans="1:15" x14ac:dyDescent="0.2">
      <c r="B15" t="s">
        <v>38</v>
      </c>
      <c r="E15">
        <v>3</v>
      </c>
      <c r="F15" t="s">
        <v>34</v>
      </c>
    </row>
    <row r="16" spans="1:15" x14ac:dyDescent="0.2">
      <c r="B16" t="s">
        <v>96</v>
      </c>
      <c r="E16" s="2" t="s">
        <v>168</v>
      </c>
    </row>
    <row r="18" spans="1:8" ht="51" x14ac:dyDescent="0.2">
      <c r="B18" s="5" t="s">
        <v>119</v>
      </c>
      <c r="C18" s="5"/>
      <c r="E18" s="11">
        <f>E5*E6</f>
        <v>255.60000000000002</v>
      </c>
      <c r="F18" t="s">
        <v>0</v>
      </c>
      <c r="G18" s="46"/>
    </row>
    <row r="19" spans="1:8" x14ac:dyDescent="0.2">
      <c r="B19" t="s">
        <v>94</v>
      </c>
      <c r="E19" s="40">
        <f>E5*(E7+E8)</f>
        <v>1533.6</v>
      </c>
      <c r="F19" t="s">
        <v>0</v>
      </c>
    </row>
    <row r="20" spans="1:8" x14ac:dyDescent="0.2">
      <c r="B20" t="s">
        <v>39</v>
      </c>
      <c r="D20" s="11">
        <f>E19/E18</f>
        <v>5.9999999999999991</v>
      </c>
      <c r="E20" s="11">
        <f>D20</f>
        <v>5.9999999999999991</v>
      </c>
      <c r="F20" t="s">
        <v>40</v>
      </c>
    </row>
    <row r="21" spans="1:8" x14ac:dyDescent="0.2">
      <c r="B21" t="s">
        <v>101</v>
      </c>
      <c r="E21">
        <f>E20*3</f>
        <v>17.999999999999996</v>
      </c>
      <c r="F21" t="s">
        <v>34</v>
      </c>
      <c r="G21" s="46"/>
      <c r="H21" t="s">
        <v>106</v>
      </c>
    </row>
    <row r="22" spans="1:8" ht="34" customHeight="1" x14ac:dyDescent="0.2">
      <c r="B22" s="5" t="s">
        <v>102</v>
      </c>
      <c r="C22" s="5"/>
      <c r="E22" s="11">
        <f>E18-(5*10)</f>
        <v>205.60000000000002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25.560000000000002</v>
      </c>
      <c r="F24" t="s">
        <v>0</v>
      </c>
      <c r="G24" s="5"/>
    </row>
    <row r="25" spans="1:8" ht="32.25" customHeight="1" x14ac:dyDescent="0.2">
      <c r="B25" s="130" t="s">
        <v>178</v>
      </c>
      <c r="C25" s="130"/>
      <c r="D25" s="49">
        <v>4</v>
      </c>
      <c r="E25" s="51">
        <f>E18-E24</f>
        <v>230.04000000000002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3.2862857142857145</v>
      </c>
      <c r="E26">
        <v>3</v>
      </c>
      <c r="F26" s="80">
        <f>$D$25*E26</f>
        <v>12</v>
      </c>
      <c r="G26" s="86">
        <f>F26+F30</f>
        <v>12</v>
      </c>
    </row>
    <row r="27" spans="1:8" x14ac:dyDescent="0.2">
      <c r="A27" s="137"/>
      <c r="B27" t="s">
        <v>124</v>
      </c>
      <c r="D27" s="11">
        <f>E25/90</f>
        <v>2.556</v>
      </c>
      <c r="E27" s="2"/>
      <c r="F27" s="80">
        <f>$D$25*E27</f>
        <v>0</v>
      </c>
      <c r="G27" s="86">
        <f>F27+F31</f>
        <v>4</v>
      </c>
    </row>
    <row r="28" spans="1:8" x14ac:dyDescent="0.2">
      <c r="A28" s="137"/>
      <c r="B28" t="s">
        <v>125</v>
      </c>
      <c r="D28" s="11">
        <f>E25/60</f>
        <v>3.8340000000000005</v>
      </c>
      <c r="E28" s="2"/>
      <c r="F28" s="80">
        <f>$D$25*E28</f>
        <v>0</v>
      </c>
      <c r="G28" s="86">
        <f>F28+F32</f>
        <v>0</v>
      </c>
    </row>
    <row r="29" spans="1:8" ht="32.25" customHeight="1" x14ac:dyDescent="0.2">
      <c r="A29" s="137"/>
      <c r="B29" s="140" t="s">
        <v>179</v>
      </c>
      <c r="C29" s="140"/>
      <c r="D29" s="72">
        <v>2</v>
      </c>
      <c r="E29" s="73">
        <f>E22-E24</f>
        <v>180.04000000000002</v>
      </c>
      <c r="F29" s="72" t="s">
        <v>0</v>
      </c>
      <c r="G29" s="110"/>
    </row>
    <row r="30" spans="1:8" x14ac:dyDescent="0.2">
      <c r="A30" s="137"/>
      <c r="B30" t="s">
        <v>122</v>
      </c>
      <c r="D30">
        <f>E29/70</f>
        <v>2.5720000000000005</v>
      </c>
      <c r="F30" s="80">
        <f>$D$29*E30</f>
        <v>0</v>
      </c>
    </row>
    <row r="31" spans="1:8" x14ac:dyDescent="0.2">
      <c r="B31" t="s">
        <v>124</v>
      </c>
      <c r="D31">
        <f>E29/90</f>
        <v>2.0004444444444447</v>
      </c>
      <c r="E31">
        <v>2</v>
      </c>
      <c r="F31" s="80">
        <f>$D$29*E31</f>
        <v>4</v>
      </c>
    </row>
    <row r="32" spans="1:8" x14ac:dyDescent="0.2">
      <c r="B32" t="s">
        <v>125</v>
      </c>
      <c r="D32">
        <f>E29/60</f>
        <v>3.000666666666667</v>
      </c>
      <c r="F32" s="80">
        <f>$D$29*E32</f>
        <v>0</v>
      </c>
    </row>
    <row r="33" spans="2:15" x14ac:dyDescent="0.2">
      <c r="F33" s="80"/>
    </row>
    <row r="34" spans="2:15" x14ac:dyDescent="0.2">
      <c r="B34" s="40" t="s">
        <v>123</v>
      </c>
      <c r="C34" s="40"/>
      <c r="D34" s="40"/>
      <c r="E34" s="56">
        <f>SUM(G26:G28)</f>
        <v>16</v>
      </c>
    </row>
    <row r="35" spans="2:15" x14ac:dyDescent="0.2">
      <c r="B35" t="s">
        <v>126</v>
      </c>
      <c r="E35" s="11">
        <f>E34*0.25</f>
        <v>4</v>
      </c>
    </row>
    <row r="36" spans="2:15" x14ac:dyDescent="0.2">
      <c r="G36" s="40"/>
    </row>
    <row r="37" spans="2:15" x14ac:dyDescent="0.2">
      <c r="B37" s="16" t="s">
        <v>64</v>
      </c>
      <c r="C37" s="16"/>
      <c r="D37" s="16"/>
      <c r="E37" s="16"/>
      <c r="F37" s="16"/>
      <c r="G37" s="40"/>
      <c r="H37" s="40"/>
      <c r="I37" s="40"/>
      <c r="J37" s="40"/>
      <c r="K37" s="40"/>
      <c r="L37" s="40"/>
      <c r="M37" s="40"/>
      <c r="N37" s="40"/>
      <c r="O37" s="40"/>
    </row>
    <row r="38" spans="2:15" x14ac:dyDescent="0.2">
      <c r="B38" s="40"/>
      <c r="C38" s="40"/>
      <c r="D38" s="40"/>
      <c r="E38" s="40"/>
      <c r="F38" s="40"/>
      <c r="G38" s="40" t="s">
        <v>104</v>
      </c>
      <c r="H38" s="40"/>
    </row>
    <row r="39" spans="2:15" x14ac:dyDescent="0.2">
      <c r="B39" t="s">
        <v>28</v>
      </c>
      <c r="E39" s="62">
        <v>10380000</v>
      </c>
      <c r="F39" s="40"/>
      <c r="G39" s="40"/>
    </row>
    <row r="40" spans="2:15" x14ac:dyDescent="0.2">
      <c r="B40" t="s">
        <v>107</v>
      </c>
      <c r="E40" s="84">
        <f>(E39-DATOS!L65)*DATOS!M65</f>
        <v>329273.68832000002</v>
      </c>
    </row>
    <row r="41" spans="2:15" x14ac:dyDescent="0.2">
      <c r="B41" t="s">
        <v>65</v>
      </c>
      <c r="E41" s="84">
        <f>G59*DATOS!H31</f>
        <v>24055721.856000006</v>
      </c>
    </row>
    <row r="42" spans="2:15" x14ac:dyDescent="0.2">
      <c r="B42" t="s">
        <v>67</v>
      </c>
      <c r="E42" s="84">
        <f>E41*DATOS!B39</f>
        <v>1924457.7484800005</v>
      </c>
    </row>
    <row r="43" spans="2:15" x14ac:dyDescent="0.2">
      <c r="B43" t="s">
        <v>86</v>
      </c>
      <c r="E43" s="84">
        <f>E41*DATOS!B49</f>
        <v>1683900.5299200006</v>
      </c>
    </row>
    <row r="44" spans="2:15" x14ac:dyDescent="0.2">
      <c r="B44" t="s">
        <v>68</v>
      </c>
      <c r="E44" s="84">
        <f>E41*DATOS!B83</f>
        <v>1563621.9206400004</v>
      </c>
    </row>
    <row r="45" spans="2:15" x14ac:dyDescent="0.2">
      <c r="B45" t="s">
        <v>129</v>
      </c>
      <c r="E45" s="84">
        <f>E41*DATOS!B91</f>
        <v>3608358.2784000007</v>
      </c>
    </row>
    <row r="46" spans="2:15" x14ac:dyDescent="0.2">
      <c r="E46" s="84"/>
    </row>
    <row r="47" spans="2:15" x14ac:dyDescent="0.2">
      <c r="B47" s="54" t="s">
        <v>69</v>
      </c>
      <c r="C47" s="54"/>
      <c r="D47" s="54"/>
      <c r="E47" s="103">
        <f>SUM(E39:E45)</f>
        <v>43545334.021760009</v>
      </c>
      <c r="F47" s="54"/>
    </row>
    <row r="49" spans="2:13" x14ac:dyDescent="0.2">
      <c r="B49" s="40"/>
      <c r="C49" s="40" t="s">
        <v>120</v>
      </c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</row>
    <row r="51" spans="2:13" x14ac:dyDescent="0.2">
      <c r="B51" s="12" t="s">
        <v>49</v>
      </c>
      <c r="C51" s="12"/>
      <c r="D51" s="12"/>
      <c r="E51" s="44">
        <f>E35*20*1.1</f>
        <v>88</v>
      </c>
    </row>
    <row r="52" spans="2:13" x14ac:dyDescent="0.2">
      <c r="B52" s="12" t="s">
        <v>50</v>
      </c>
      <c r="C52" s="43">
        <f>($E$28*60)+($E$26*70)+($E$27*90)</f>
        <v>210</v>
      </c>
      <c r="D52" s="44">
        <f>$E$24</f>
        <v>25.560000000000002</v>
      </c>
      <c r="E52" s="12"/>
    </row>
    <row r="53" spans="2:13" x14ac:dyDescent="0.2">
      <c r="B53" s="12" t="s">
        <v>51</v>
      </c>
      <c r="C53" s="43">
        <f t="shared" ref="C53:C54" si="0">($E$28*60)+($E$26*70)+($E$27*90)</f>
        <v>210</v>
      </c>
      <c r="D53" s="44">
        <f>$E$24</f>
        <v>25.560000000000002</v>
      </c>
      <c r="E53" s="12"/>
      <c r="I53" s="6"/>
      <c r="J53" s="6"/>
      <c r="K53" s="108"/>
      <c r="M53" s="86"/>
    </row>
    <row r="54" spans="2:13" x14ac:dyDescent="0.2">
      <c r="B54" s="12" t="s">
        <v>52</v>
      </c>
      <c r="C54" s="43">
        <f t="shared" si="0"/>
        <v>210</v>
      </c>
      <c r="D54" s="44">
        <f>$E$24</f>
        <v>25.560000000000002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>($E$28*60)+($E$26*70)+($E$27*90)</f>
        <v>210</v>
      </c>
      <c r="D55" s="44">
        <f>$E$24</f>
        <v>25.560000000000002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>($E$30*70)+($E$31*90)+($E$32*60)</f>
        <v>180</v>
      </c>
      <c r="D56" s="44">
        <f t="shared" ref="D56:D57" si="1">$E$24</f>
        <v>25.560000000000002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>
        <f>($E$30*70)+($E$31*90)+($E$32*60)</f>
        <v>180</v>
      </c>
      <c r="D57" s="44">
        <f t="shared" si="1"/>
        <v>25.560000000000002</v>
      </c>
      <c r="E57" s="12"/>
      <c r="I57" s="6"/>
      <c r="J57" s="6"/>
      <c r="K57" s="108"/>
      <c r="M57" s="86"/>
    </row>
    <row r="58" spans="2:13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/>
      <c r="D59" s="44"/>
      <c r="E59" s="12"/>
      <c r="G59" s="90">
        <f>C62+D62+E62</f>
        <v>1441.3600000000001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83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1200</v>
      </c>
      <c r="D62" s="63">
        <f t="shared" ref="D62:E62" si="2">SUM(D51:D61)</f>
        <v>153.36000000000001</v>
      </c>
      <c r="E62" s="64">
        <f t="shared" si="2"/>
        <v>88</v>
      </c>
      <c r="G62" s="83">
        <f>SUM(C62:D62)</f>
        <v>1353.3600000000001</v>
      </c>
      <c r="I62" s="6"/>
      <c r="J62" s="6"/>
      <c r="K62" s="108"/>
      <c r="M62" s="86"/>
    </row>
    <row r="64" spans="2:13" x14ac:dyDescent="0.2">
      <c r="B64" s="16" t="s">
        <v>70</v>
      </c>
      <c r="C64" s="16"/>
      <c r="D64" s="16"/>
      <c r="E64" s="16"/>
      <c r="F64" s="16"/>
      <c r="G64" s="16"/>
    </row>
    <row r="66" spans="2:7" x14ac:dyDescent="0.2">
      <c r="B66" t="s">
        <v>108</v>
      </c>
      <c r="E66" s="58">
        <f>E47/C62</f>
        <v>36287.778351466673</v>
      </c>
    </row>
    <row r="67" spans="2:7" x14ac:dyDescent="0.2">
      <c r="B67" s="40" t="s">
        <v>127</v>
      </c>
      <c r="C67" s="40"/>
      <c r="D67" s="52">
        <v>1</v>
      </c>
      <c r="E67" s="88">
        <f>E66*90*D67</f>
        <v>3265900.0516320006</v>
      </c>
      <c r="G67" s="3" t="s">
        <v>223</v>
      </c>
    </row>
    <row r="68" spans="2:7" x14ac:dyDescent="0.2">
      <c r="B68" s="40" t="s">
        <v>128</v>
      </c>
      <c r="C68" s="40"/>
      <c r="D68" s="52">
        <v>1</v>
      </c>
      <c r="E68" s="88">
        <f>E66*70*D68</f>
        <v>2540144.4846026669</v>
      </c>
      <c r="G68" s="109">
        <v>1020000</v>
      </c>
    </row>
    <row r="69" spans="2:7" x14ac:dyDescent="0.2">
      <c r="B69" s="40" t="s">
        <v>110</v>
      </c>
      <c r="C69" s="40"/>
      <c r="D69" s="74"/>
      <c r="E69" s="88">
        <f>E66*60*D69</f>
        <v>0</v>
      </c>
      <c r="G69" s="109">
        <v>2040000</v>
      </c>
    </row>
  </sheetData>
  <mergeCells count="4">
    <mergeCell ref="A27:A30"/>
    <mergeCell ref="G5:G6"/>
    <mergeCell ref="B25:C25"/>
    <mergeCell ref="B29:C29"/>
  </mergeCells>
  <pageMargins left="0.7" right="0.7" top="0.75" bottom="0.75" header="0.3" footer="0.3"/>
  <pageSetup scale="54" fitToWidth="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BAFED-FB62-42DC-BB4C-5EAE8A59919E}">
  <sheetPr>
    <tabColor theme="7" tint="0.59999389629810485"/>
    <pageSetUpPr fitToPage="1"/>
  </sheetPr>
  <dimension ref="A1:O69"/>
  <sheetViews>
    <sheetView showGridLines="0" zoomScale="75" zoomScaleNormal="60" workbookViewId="0">
      <selection activeCell="B1" sqref="B1:G1"/>
    </sheetView>
  </sheetViews>
  <sheetFormatPr baseColWidth="10" defaultRowHeight="16" x14ac:dyDescent="0.2"/>
  <cols>
    <col min="1" max="1" width="8.832031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21.1640625" customWidth="1"/>
    <col min="14" max="14" width="18.83203125" customWidth="1"/>
  </cols>
  <sheetData>
    <row r="1" spans="1:7" x14ac:dyDescent="0.2">
      <c r="A1" s="40" t="s">
        <v>28</v>
      </c>
      <c r="B1" s="101" t="s">
        <v>227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172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188.69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3.6</v>
      </c>
    </row>
    <row r="8" spans="1:7" x14ac:dyDescent="0.2">
      <c r="B8" t="s">
        <v>93</v>
      </c>
      <c r="E8" s="2">
        <v>1.2</v>
      </c>
    </row>
    <row r="9" spans="1:7" x14ac:dyDescent="0.2">
      <c r="B9" t="s">
        <v>33</v>
      </c>
      <c r="E9" s="2" t="s">
        <v>171</v>
      </c>
      <c r="F9" t="s">
        <v>34</v>
      </c>
    </row>
    <row r="10" spans="1:7" x14ac:dyDescent="0.2">
      <c r="B10" t="s">
        <v>95</v>
      </c>
      <c r="E10" s="2" t="s">
        <v>174</v>
      </c>
    </row>
    <row r="11" spans="1:7" x14ac:dyDescent="0.2">
      <c r="B11" t="s">
        <v>116</v>
      </c>
      <c r="E11" s="2" t="s">
        <v>173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170</v>
      </c>
    </row>
    <row r="18" spans="1:8" ht="31.5" customHeight="1" x14ac:dyDescent="0.2">
      <c r="B18" s="142" t="s">
        <v>119</v>
      </c>
      <c r="C18" s="142"/>
      <c r="E18" s="11">
        <v>135.56</v>
      </c>
      <c r="F18" t="s">
        <v>0</v>
      </c>
      <c r="G18" s="46"/>
    </row>
    <row r="19" spans="1:8" x14ac:dyDescent="0.2">
      <c r="B19" t="s">
        <v>94</v>
      </c>
      <c r="E19" s="40">
        <f>E5*(E7+E8)</f>
        <v>905.71199999999999</v>
      </c>
      <c r="F19" t="s">
        <v>0</v>
      </c>
    </row>
    <row r="20" spans="1:8" x14ac:dyDescent="0.2">
      <c r="B20" t="s">
        <v>39</v>
      </c>
      <c r="D20" s="11">
        <f>E19/E18</f>
        <v>6.6812629094128058</v>
      </c>
      <c r="E20" s="11">
        <v>7</v>
      </c>
      <c r="F20" t="s">
        <v>40</v>
      </c>
    </row>
    <row r="21" spans="1:8" x14ac:dyDescent="0.2">
      <c r="B21" t="s">
        <v>101</v>
      </c>
      <c r="E21">
        <v>20</v>
      </c>
      <c r="F21" t="s">
        <v>34</v>
      </c>
      <c r="G21" s="46"/>
      <c r="H21" t="s">
        <v>106</v>
      </c>
    </row>
    <row r="22" spans="1:8" ht="34" customHeight="1" x14ac:dyDescent="0.2">
      <c r="B22" s="131" t="s">
        <v>102</v>
      </c>
      <c r="C22" s="131"/>
      <c r="E22" s="11">
        <f>E18-(5*17)</f>
        <v>50.56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13.556000000000001</v>
      </c>
      <c r="F24" t="s">
        <v>0</v>
      </c>
      <c r="G24" s="5"/>
    </row>
    <row r="25" spans="1:8" ht="37.5" customHeight="1" x14ac:dyDescent="0.2">
      <c r="B25" s="130" t="s">
        <v>221</v>
      </c>
      <c r="C25" s="130"/>
      <c r="D25" s="49">
        <v>3</v>
      </c>
      <c r="E25" s="51">
        <f>E18-E24</f>
        <v>122.004</v>
      </c>
      <c r="F25" s="49" t="s">
        <v>0</v>
      </c>
      <c r="G25" s="85" t="s">
        <v>233</v>
      </c>
    </row>
    <row r="26" spans="1:8" x14ac:dyDescent="0.2">
      <c r="B26" t="s">
        <v>122</v>
      </c>
      <c r="D26" s="11">
        <f>E25/70</f>
        <v>1.7429142857142859</v>
      </c>
      <c r="F26" s="41">
        <f>$D$25*E26</f>
        <v>0</v>
      </c>
      <c r="G26" s="86">
        <f>F26+F30</f>
        <v>2</v>
      </c>
    </row>
    <row r="27" spans="1:8" x14ac:dyDescent="0.2">
      <c r="A27" s="137"/>
      <c r="B27" t="s">
        <v>124</v>
      </c>
      <c r="D27" s="11">
        <f>E25/90</f>
        <v>1.3556000000000001</v>
      </c>
      <c r="E27" s="2"/>
      <c r="F27" s="41">
        <f>$D$25*E27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2.0333999999999999</v>
      </c>
      <c r="E28" s="2">
        <v>2</v>
      </c>
      <c r="F28" s="41">
        <f>$D$25*E28</f>
        <v>6</v>
      </c>
      <c r="G28" s="86">
        <f>F28+F32</f>
        <v>6</v>
      </c>
    </row>
    <row r="29" spans="1:8" ht="33.75" customHeight="1" x14ac:dyDescent="0.2">
      <c r="A29" s="137"/>
      <c r="B29" s="140" t="s">
        <v>222</v>
      </c>
      <c r="C29" s="140"/>
      <c r="D29" s="72">
        <v>4</v>
      </c>
      <c r="E29" s="73">
        <f>E22-E24</f>
        <v>37.004000000000005</v>
      </c>
      <c r="F29" s="72" t="s">
        <v>0</v>
      </c>
      <c r="G29" s="46"/>
    </row>
    <row r="30" spans="1:8" x14ac:dyDescent="0.2">
      <c r="A30" s="137"/>
      <c r="B30" t="s">
        <v>122</v>
      </c>
      <c r="D30">
        <f>E29/70</f>
        <v>0.52862857142857145</v>
      </c>
      <c r="E30">
        <v>0.5</v>
      </c>
      <c r="F30" s="41">
        <f>$D$29*E30</f>
        <v>2</v>
      </c>
    </row>
    <row r="31" spans="1:8" x14ac:dyDescent="0.2">
      <c r="B31" t="s">
        <v>124</v>
      </c>
      <c r="D31">
        <f>E29/90</f>
        <v>0.41115555555555561</v>
      </c>
      <c r="F31" s="41">
        <f>$D$29*E31</f>
        <v>0</v>
      </c>
    </row>
    <row r="32" spans="1:8" x14ac:dyDescent="0.2">
      <c r="B32" t="s">
        <v>125</v>
      </c>
      <c r="D32">
        <f>E29/60</f>
        <v>0.61673333333333347</v>
      </c>
      <c r="F32" s="41">
        <f>$D$29*E32</f>
        <v>0</v>
      </c>
    </row>
    <row r="33" spans="2:15" x14ac:dyDescent="0.2">
      <c r="F33" s="41"/>
    </row>
    <row r="34" spans="2:15" x14ac:dyDescent="0.2">
      <c r="B34" s="40" t="s">
        <v>123</v>
      </c>
      <c r="C34" s="40"/>
      <c r="D34" s="40"/>
      <c r="E34" s="56">
        <f>SUM(F26:F32)</f>
        <v>8</v>
      </c>
    </row>
    <row r="35" spans="2:15" x14ac:dyDescent="0.2">
      <c r="B35" t="s">
        <v>126</v>
      </c>
      <c r="E35" s="11">
        <f>E34*0.25</f>
        <v>2</v>
      </c>
    </row>
    <row r="36" spans="2:15" x14ac:dyDescent="0.2">
      <c r="G36" s="40"/>
    </row>
    <row r="37" spans="2:15" x14ac:dyDescent="0.2">
      <c r="B37" s="16" t="s">
        <v>64</v>
      </c>
      <c r="C37" s="16"/>
      <c r="D37" s="16"/>
      <c r="E37" s="16"/>
      <c r="F37" s="16"/>
      <c r="G37" s="141" t="s">
        <v>104</v>
      </c>
      <c r="H37" s="40"/>
      <c r="I37" s="40"/>
      <c r="J37" s="40"/>
      <c r="K37" s="40"/>
      <c r="L37" s="40"/>
      <c r="M37" s="40"/>
      <c r="N37" s="40"/>
      <c r="O37" s="40"/>
    </row>
    <row r="38" spans="2:15" x14ac:dyDescent="0.2">
      <c r="G38" s="141"/>
    </row>
    <row r="39" spans="2:15" x14ac:dyDescent="0.2">
      <c r="B39" t="s">
        <v>28</v>
      </c>
      <c r="E39" s="84">
        <v>3640000</v>
      </c>
      <c r="G39" s="40"/>
    </row>
    <row r="40" spans="2:15" x14ac:dyDescent="0.2">
      <c r="B40" t="s">
        <v>107</v>
      </c>
      <c r="E40" s="84">
        <f>(E39-DATOS!L65)*DATOS!M65</f>
        <v>113593.68832</v>
      </c>
    </row>
    <row r="41" spans="2:15" x14ac:dyDescent="0.2">
      <c r="B41" t="s">
        <v>65</v>
      </c>
      <c r="E41" s="84">
        <f>G59*DATOS!H31</f>
        <v>9268335.7056000009</v>
      </c>
      <c r="G41" s="46"/>
    </row>
    <row r="42" spans="2:15" x14ac:dyDescent="0.2">
      <c r="B42" t="s">
        <v>67</v>
      </c>
      <c r="E42" s="84">
        <f>E41*DATOS!B39</f>
        <v>741466.85644800006</v>
      </c>
    </row>
    <row r="43" spans="2:15" x14ac:dyDescent="0.2">
      <c r="B43" t="s">
        <v>86</v>
      </c>
      <c r="E43" s="84">
        <f>E41*DATOS!B49</f>
        <v>648783.49939200014</v>
      </c>
      <c r="G43" s="35"/>
    </row>
    <row r="44" spans="2:15" x14ac:dyDescent="0.2">
      <c r="B44" t="s">
        <v>68</v>
      </c>
      <c r="E44" s="84">
        <f>E41*DATOS!B83</f>
        <v>602441.82086400012</v>
      </c>
    </row>
    <row r="45" spans="2:15" x14ac:dyDescent="0.2">
      <c r="B45" t="s">
        <v>129</v>
      </c>
      <c r="E45" s="84">
        <f>E41*DATOS!B91</f>
        <v>1390250.3558400001</v>
      </c>
    </row>
    <row r="46" spans="2:15" x14ac:dyDescent="0.2">
      <c r="E46" s="84"/>
      <c r="G46" s="26"/>
    </row>
    <row r="47" spans="2:15" x14ac:dyDescent="0.2">
      <c r="B47" s="54" t="s">
        <v>69</v>
      </c>
      <c r="C47" s="54"/>
      <c r="D47" s="54"/>
      <c r="E47" s="103">
        <f>SUM(E39:E45)</f>
        <v>16404871.926464001</v>
      </c>
    </row>
    <row r="49" spans="2:14" x14ac:dyDescent="0.2">
      <c r="B49" s="40"/>
      <c r="C49" s="40" t="s">
        <v>120</v>
      </c>
    </row>
    <row r="50" spans="2:14" ht="85" x14ac:dyDescent="0.2">
      <c r="B50" s="12"/>
      <c r="C50" s="13" t="s">
        <v>46</v>
      </c>
      <c r="D50" s="13" t="s">
        <v>47</v>
      </c>
      <c r="E50" s="13" t="s">
        <v>48</v>
      </c>
    </row>
    <row r="51" spans="2:14" x14ac:dyDescent="0.2">
      <c r="B51" s="12" t="s">
        <v>49</v>
      </c>
      <c r="C51" s="12"/>
      <c r="D51" s="12"/>
      <c r="E51" s="44">
        <f>E35*20*1.1</f>
        <v>44</v>
      </c>
      <c r="I51" s="6"/>
      <c r="J51" s="6"/>
      <c r="K51" s="108"/>
    </row>
    <row r="52" spans="2:14" x14ac:dyDescent="0.2">
      <c r="B52" s="12" t="s">
        <v>50</v>
      </c>
      <c r="C52" s="43">
        <f>($E$28*60)+($E$26*70)+($E$27*90)</f>
        <v>120</v>
      </c>
      <c r="D52" s="44">
        <f>$E$24</f>
        <v>13.556000000000001</v>
      </c>
      <c r="E52" s="12"/>
      <c r="I52" s="6"/>
      <c r="J52" s="6"/>
      <c r="K52" s="108"/>
    </row>
    <row r="53" spans="2:14" x14ac:dyDescent="0.2">
      <c r="B53" s="12" t="s">
        <v>51</v>
      </c>
      <c r="C53" s="43">
        <f t="shared" ref="C53:C54" si="0">($E$28*60)+($E$26*70)+($E$27*90)</f>
        <v>120</v>
      </c>
      <c r="D53" s="44">
        <f>$E$24</f>
        <v>13.556000000000001</v>
      </c>
      <c r="E53" s="12"/>
      <c r="I53" s="6"/>
      <c r="J53" s="6"/>
      <c r="K53" s="108"/>
    </row>
    <row r="54" spans="2:14" x14ac:dyDescent="0.2">
      <c r="B54" s="12" t="s">
        <v>52</v>
      </c>
      <c r="C54" s="43">
        <f t="shared" si="0"/>
        <v>120</v>
      </c>
      <c r="D54" s="44">
        <f>$E$24</f>
        <v>13.556000000000001</v>
      </c>
      <c r="E54" s="12"/>
      <c r="I54" s="6"/>
      <c r="J54" s="6"/>
      <c r="K54" s="108"/>
    </row>
    <row r="55" spans="2:14" x14ac:dyDescent="0.2">
      <c r="B55" s="12" t="s">
        <v>53</v>
      </c>
      <c r="C55" s="43">
        <f>($E$30*70)+($E$31*90)+($E$32*60)</f>
        <v>35</v>
      </c>
      <c r="D55" s="44">
        <f>$E$24</f>
        <v>13.556000000000001</v>
      </c>
      <c r="E55" s="12"/>
      <c r="I55" s="6"/>
      <c r="J55" s="6"/>
      <c r="K55" s="108"/>
    </row>
    <row r="56" spans="2:14" x14ac:dyDescent="0.2">
      <c r="B56" s="12" t="s">
        <v>54</v>
      </c>
      <c r="C56" s="43"/>
      <c r="D56" s="44">
        <f t="shared" ref="D56:D57" si="1">$E$24</f>
        <v>13.556000000000001</v>
      </c>
      <c r="E56" s="12"/>
      <c r="I56" s="6"/>
      <c r="J56" s="6"/>
      <c r="K56" s="108"/>
    </row>
    <row r="57" spans="2:14" x14ac:dyDescent="0.2">
      <c r="B57" s="12" t="s">
        <v>55</v>
      </c>
      <c r="C57" s="43">
        <f>($E$30*70)+($E$31*90)+($E$32*60)</f>
        <v>35</v>
      </c>
      <c r="D57" s="44">
        <f t="shared" si="1"/>
        <v>13.556000000000001</v>
      </c>
      <c r="E57" s="12"/>
      <c r="I57" s="6"/>
      <c r="J57" s="6"/>
      <c r="K57" s="108"/>
    </row>
    <row r="58" spans="2:14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</row>
    <row r="59" spans="2:14" x14ac:dyDescent="0.2">
      <c r="B59" s="12" t="s">
        <v>57</v>
      </c>
      <c r="C59" s="43"/>
      <c r="D59" s="44"/>
      <c r="E59" s="12"/>
      <c r="G59" s="90">
        <f>C62+D62+E62</f>
        <v>555.33600000000001</v>
      </c>
      <c r="I59" s="6"/>
      <c r="J59" s="6"/>
      <c r="K59" s="108"/>
    </row>
    <row r="60" spans="2:14" x14ac:dyDescent="0.2">
      <c r="B60" s="12" t="s">
        <v>58</v>
      </c>
      <c r="C60" s="43"/>
      <c r="D60" s="44"/>
      <c r="E60" s="12"/>
      <c r="I60" s="6"/>
      <c r="J60" s="6"/>
      <c r="K60" s="108"/>
    </row>
    <row r="61" spans="2:14" x14ac:dyDescent="0.2">
      <c r="B61" s="14" t="s">
        <v>59</v>
      </c>
      <c r="C61" s="43"/>
      <c r="D61" s="44"/>
      <c r="E61" s="14"/>
      <c r="G61" s="76" t="s">
        <v>62</v>
      </c>
      <c r="I61" s="6"/>
      <c r="J61" s="6"/>
      <c r="K61" s="108"/>
    </row>
    <row r="62" spans="2:14" x14ac:dyDescent="0.2">
      <c r="B62" s="12" t="s">
        <v>25</v>
      </c>
      <c r="C62" s="63">
        <f>SUM(C51:C61)</f>
        <v>430</v>
      </c>
      <c r="D62" s="63">
        <f t="shared" ref="D62" si="2">SUM(D51:D61)</f>
        <v>81.335999999999999</v>
      </c>
      <c r="E62" s="64">
        <f>SUM(E51:E61)</f>
        <v>44</v>
      </c>
      <c r="G62" s="76">
        <f>SUM(C62:D62)</f>
        <v>511.33600000000001</v>
      </c>
      <c r="I62" s="6"/>
      <c r="J62" s="6"/>
      <c r="K62" s="108"/>
    </row>
    <row r="63" spans="2:14" x14ac:dyDescent="0.2">
      <c r="I63" s="6"/>
      <c r="J63" s="6"/>
      <c r="K63" s="108"/>
    </row>
    <row r="64" spans="2:14" x14ac:dyDescent="0.2">
      <c r="B64" s="16" t="s">
        <v>70</v>
      </c>
      <c r="C64" s="16"/>
      <c r="D64" s="16"/>
      <c r="E64" s="16"/>
      <c r="F64" s="16"/>
      <c r="G64" s="16"/>
      <c r="H64" s="16"/>
      <c r="I64" s="15"/>
      <c r="J64" s="15"/>
      <c r="K64" s="15"/>
      <c r="L64" s="15"/>
      <c r="M64" s="15"/>
      <c r="N64" s="15"/>
    </row>
    <row r="66" spans="2:7" x14ac:dyDescent="0.2">
      <c r="B66" t="s">
        <v>108</v>
      </c>
      <c r="E66" s="58">
        <f>E47/C62</f>
        <v>38150.864945265115</v>
      </c>
    </row>
    <row r="67" spans="2:7" x14ac:dyDescent="0.2">
      <c r="B67" s="40" t="s">
        <v>127</v>
      </c>
      <c r="C67" s="40"/>
      <c r="D67" s="40"/>
      <c r="E67" s="88">
        <f>E66*90*D67</f>
        <v>0</v>
      </c>
      <c r="G67" s="35" t="s">
        <v>223</v>
      </c>
    </row>
    <row r="68" spans="2:7" x14ac:dyDescent="0.2">
      <c r="B68" s="40" t="s">
        <v>128</v>
      </c>
      <c r="C68" s="40"/>
      <c r="D68" s="52">
        <v>1</v>
      </c>
      <c r="E68" s="88">
        <f>E66*70*D68</f>
        <v>2670560.5461685583</v>
      </c>
      <c r="G68" s="109">
        <v>1020000</v>
      </c>
    </row>
    <row r="69" spans="2:7" x14ac:dyDescent="0.2">
      <c r="B69" s="40" t="s">
        <v>110</v>
      </c>
      <c r="C69" s="40"/>
      <c r="D69" s="74">
        <v>1</v>
      </c>
      <c r="E69" s="88">
        <f>E66*60*D69</f>
        <v>2289051.8967159069</v>
      </c>
      <c r="G69" s="109">
        <v>2040000</v>
      </c>
    </row>
  </sheetData>
  <mergeCells count="7">
    <mergeCell ref="A27:A30"/>
    <mergeCell ref="G5:G6"/>
    <mergeCell ref="G37:G38"/>
    <mergeCell ref="B18:C18"/>
    <mergeCell ref="B25:C25"/>
    <mergeCell ref="B29:C29"/>
    <mergeCell ref="B22:C22"/>
  </mergeCells>
  <pageMargins left="0.7" right="0.7" top="0.75" bottom="0.75" header="0.3" footer="0.3"/>
  <pageSetup scale="55" fitToWidth="0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30E30-C95A-42D6-B125-35AB7E69AE68}">
  <sheetPr>
    <tabColor theme="7" tint="0.79998168889431442"/>
    <pageSetUpPr fitToPage="1"/>
  </sheetPr>
  <dimension ref="A1:N69"/>
  <sheetViews>
    <sheetView zoomScale="73" zoomScaleNormal="73" workbookViewId="0">
      <selection activeCell="B1" sqref="B1:G1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101" t="s">
        <v>267</v>
      </c>
      <c r="C1" s="101"/>
      <c r="D1" s="102" t="s">
        <v>92</v>
      </c>
      <c r="E1" s="47"/>
      <c r="F1" s="47"/>
      <c r="G1" s="47"/>
    </row>
    <row r="2" spans="1:7" x14ac:dyDescent="0.2">
      <c r="B2" s="40" t="s">
        <v>175</v>
      </c>
      <c r="C2" s="40"/>
      <c r="D2" s="42" t="s">
        <v>228</v>
      </c>
    </row>
    <row r="3" spans="1:7" x14ac:dyDescent="0.2">
      <c r="B3" s="40"/>
      <c r="C3" s="40"/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147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3</v>
      </c>
    </row>
    <row r="8" spans="1:7" x14ac:dyDescent="0.2">
      <c r="B8" t="s">
        <v>93</v>
      </c>
      <c r="E8" s="2">
        <v>1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32</v>
      </c>
    </row>
    <row r="11" spans="1:7" x14ac:dyDescent="0.2">
      <c r="B11" t="s">
        <v>116</v>
      </c>
      <c r="E11" s="2" t="s">
        <v>180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97</v>
      </c>
    </row>
    <row r="18" spans="1:8" ht="33.75" customHeight="1" x14ac:dyDescent="0.2">
      <c r="B18" s="142" t="s">
        <v>119</v>
      </c>
      <c r="C18" s="142"/>
      <c r="E18" s="11">
        <f>E5*E6</f>
        <v>117.60000000000001</v>
      </c>
      <c r="F18" t="s">
        <v>0</v>
      </c>
      <c r="G18" s="46"/>
    </row>
    <row r="19" spans="1:8" x14ac:dyDescent="0.2">
      <c r="B19" t="s">
        <v>94</v>
      </c>
      <c r="E19" s="40">
        <f>E5*(E7+E8)</f>
        <v>588</v>
      </c>
      <c r="F19" t="s">
        <v>0</v>
      </c>
    </row>
    <row r="20" spans="1:8" x14ac:dyDescent="0.2">
      <c r="B20" t="s">
        <v>39</v>
      </c>
      <c r="D20" s="11">
        <f>E19/E18</f>
        <v>5</v>
      </c>
      <c r="E20" s="11">
        <f>D20</f>
        <v>5</v>
      </c>
      <c r="F20" t="s">
        <v>40</v>
      </c>
    </row>
    <row r="21" spans="1:8" x14ac:dyDescent="0.2">
      <c r="B21" t="s">
        <v>101</v>
      </c>
      <c r="E21">
        <f>E20*3</f>
        <v>15</v>
      </c>
      <c r="F21" t="s">
        <v>34</v>
      </c>
      <c r="G21" s="46"/>
      <c r="H21" t="s">
        <v>106</v>
      </c>
    </row>
    <row r="22" spans="1:8" ht="34" customHeight="1" x14ac:dyDescent="0.2">
      <c r="B22" s="131" t="s">
        <v>102</v>
      </c>
      <c r="C22" s="131"/>
      <c r="E22" s="11">
        <f>E18-(5*6.2)</f>
        <v>86.600000000000009</v>
      </c>
      <c r="F22" t="s">
        <v>0</v>
      </c>
    </row>
    <row r="24" spans="1:8" x14ac:dyDescent="0.2">
      <c r="B24" t="s">
        <v>61</v>
      </c>
      <c r="D24" s="4">
        <v>0.1</v>
      </c>
      <c r="E24" s="11">
        <f>E18*0.1</f>
        <v>11.760000000000002</v>
      </c>
      <c r="F24" t="s">
        <v>0</v>
      </c>
      <c r="G24" s="5"/>
    </row>
    <row r="25" spans="1:8" ht="36.75" customHeight="1" x14ac:dyDescent="0.2">
      <c r="B25" s="143" t="s">
        <v>181</v>
      </c>
      <c r="C25" s="143"/>
      <c r="D25" s="49">
        <v>3</v>
      </c>
      <c r="E25" s="51">
        <f>E18-E24</f>
        <v>105.84</v>
      </c>
      <c r="F25" s="49" t="s">
        <v>0</v>
      </c>
      <c r="G25" s="87" t="s">
        <v>233</v>
      </c>
    </row>
    <row r="26" spans="1:8" x14ac:dyDescent="0.2">
      <c r="B26" t="s">
        <v>122</v>
      </c>
      <c r="D26" s="11">
        <f>E25/70</f>
        <v>1.512</v>
      </c>
      <c r="E26">
        <v>1</v>
      </c>
      <c r="F26" s="80">
        <f>D25*E26</f>
        <v>3</v>
      </c>
      <c r="G26" s="86">
        <f>F26+F30</f>
        <v>5</v>
      </c>
    </row>
    <row r="27" spans="1:8" x14ac:dyDescent="0.2">
      <c r="A27" s="137"/>
      <c r="B27" t="s">
        <v>124</v>
      </c>
      <c r="D27" s="11">
        <f>E25/90</f>
        <v>1.1759999999999999</v>
      </c>
      <c r="E27" s="2"/>
      <c r="F27" s="80">
        <f>D25*E27</f>
        <v>0</v>
      </c>
      <c r="G27" s="86">
        <f>F27+F31</f>
        <v>0</v>
      </c>
    </row>
    <row r="28" spans="1:8" x14ac:dyDescent="0.2">
      <c r="A28" s="137"/>
      <c r="B28" t="s">
        <v>125</v>
      </c>
      <c r="D28" s="11">
        <f>E25/60</f>
        <v>1.764</v>
      </c>
      <c r="E28" s="2"/>
      <c r="F28" s="80">
        <f>$D$29*E28</f>
        <v>0</v>
      </c>
      <c r="G28" s="86">
        <f>F28+F32</f>
        <v>0</v>
      </c>
    </row>
    <row r="29" spans="1:8" ht="35.25" customHeight="1" x14ac:dyDescent="0.2">
      <c r="A29" s="137"/>
      <c r="B29" s="144" t="s">
        <v>182</v>
      </c>
      <c r="C29" s="144"/>
      <c r="D29" s="72">
        <v>2</v>
      </c>
      <c r="E29" s="73">
        <f>E22-E24</f>
        <v>74.84</v>
      </c>
      <c r="F29" s="72" t="s">
        <v>0</v>
      </c>
    </row>
    <row r="30" spans="1:8" x14ac:dyDescent="0.2">
      <c r="A30" s="137"/>
      <c r="B30" t="s">
        <v>122</v>
      </c>
      <c r="D30">
        <f>E29/70</f>
        <v>1.0691428571428572</v>
      </c>
      <c r="E30">
        <v>1</v>
      </c>
      <c r="F30" s="80">
        <f>$D$29*E30</f>
        <v>2</v>
      </c>
    </row>
    <row r="31" spans="1:8" x14ac:dyDescent="0.2">
      <c r="B31" t="s">
        <v>124</v>
      </c>
      <c r="D31">
        <f>E29/90</f>
        <v>0.8315555555555556</v>
      </c>
      <c r="F31" s="80">
        <f>$D$29*E31</f>
        <v>0</v>
      </c>
    </row>
    <row r="32" spans="1:8" x14ac:dyDescent="0.2">
      <c r="B32" t="s">
        <v>125</v>
      </c>
      <c r="D32">
        <f>E29/60</f>
        <v>1.2473333333333334</v>
      </c>
      <c r="F32" s="80">
        <f>$D$29*E32</f>
        <v>0</v>
      </c>
    </row>
    <row r="34" spans="2:14" x14ac:dyDescent="0.2">
      <c r="B34" s="40" t="s">
        <v>123</v>
      </c>
      <c r="C34" s="40"/>
      <c r="D34" s="40"/>
      <c r="E34" s="56">
        <f>SUM(G26:G28)</f>
        <v>5</v>
      </c>
    </row>
    <row r="35" spans="2:14" x14ac:dyDescent="0.2">
      <c r="B35" t="s">
        <v>126</v>
      </c>
      <c r="D35" s="11">
        <f>E34*0.25</f>
        <v>1.25</v>
      </c>
      <c r="E35">
        <v>2</v>
      </c>
    </row>
    <row r="36" spans="2:14" x14ac:dyDescent="0.2">
      <c r="G36" s="40"/>
      <c r="H36" s="40"/>
    </row>
    <row r="37" spans="2:14" x14ac:dyDescent="0.2">
      <c r="B37" s="16" t="s">
        <v>64</v>
      </c>
      <c r="C37" s="16"/>
      <c r="D37" s="16"/>
      <c r="E37" s="16"/>
      <c r="F37" s="16"/>
      <c r="G37" s="40"/>
      <c r="H37" s="40"/>
      <c r="I37" s="40"/>
      <c r="J37" s="40"/>
      <c r="K37" s="40"/>
      <c r="L37" s="40"/>
      <c r="M37" s="40"/>
      <c r="N37" s="40"/>
    </row>
    <row r="38" spans="2:14" x14ac:dyDescent="0.2">
      <c r="B38" s="40"/>
      <c r="C38" s="40"/>
      <c r="D38" s="40"/>
      <c r="E38" s="40"/>
      <c r="F38" s="40"/>
      <c r="G38" s="136" t="s">
        <v>104</v>
      </c>
      <c r="H38" s="40"/>
    </row>
    <row r="39" spans="2:14" x14ac:dyDescent="0.2">
      <c r="B39" t="s">
        <v>28</v>
      </c>
      <c r="E39" s="62">
        <v>3250000</v>
      </c>
      <c r="F39" s="40"/>
      <c r="G39" s="136"/>
    </row>
    <row r="40" spans="2:14" x14ac:dyDescent="0.2">
      <c r="B40" t="s">
        <v>107</v>
      </c>
      <c r="E40" s="84">
        <f>(E39-DATOS!L65)*DATOS!M65</f>
        <v>101113.68832</v>
      </c>
    </row>
    <row r="41" spans="2:14" x14ac:dyDescent="0.2">
      <c r="B41" t="s">
        <v>65</v>
      </c>
      <c r="E41" s="84">
        <f>G59*DATOS!H31</f>
        <v>7386816.9600000009</v>
      </c>
    </row>
    <row r="42" spans="2:14" x14ac:dyDescent="0.2">
      <c r="B42" t="s">
        <v>67</v>
      </c>
      <c r="E42" s="84">
        <f>E41*DATOS!B39</f>
        <v>590945.35680000007</v>
      </c>
    </row>
    <row r="43" spans="2:14" x14ac:dyDescent="0.2">
      <c r="B43" t="s">
        <v>86</v>
      </c>
      <c r="E43" s="84">
        <f>E41*DATOS!B49</f>
        <v>517077.1872000001</v>
      </c>
      <c r="G43" s="46"/>
    </row>
    <row r="44" spans="2:14" x14ac:dyDescent="0.2">
      <c r="B44" t="s">
        <v>68</v>
      </c>
      <c r="E44" s="84">
        <f>E41*DATOS!B83</f>
        <v>480143.10240000009</v>
      </c>
    </row>
    <row r="45" spans="2:14" x14ac:dyDescent="0.2">
      <c r="B45" t="s">
        <v>129</v>
      </c>
      <c r="E45" s="84">
        <f>E41*DATOS!B91</f>
        <v>1108022.544</v>
      </c>
    </row>
    <row r="46" spans="2:14" x14ac:dyDescent="0.2">
      <c r="E46" s="84"/>
    </row>
    <row r="47" spans="2:14" x14ac:dyDescent="0.2">
      <c r="B47" s="54" t="s">
        <v>69</v>
      </c>
      <c r="C47" s="54"/>
      <c r="D47" s="54"/>
      <c r="E47" s="103">
        <f>SUM(E39:E45)</f>
        <v>13434118.838719999</v>
      </c>
    </row>
    <row r="49" spans="2:13" x14ac:dyDescent="0.2">
      <c r="B49" s="40"/>
      <c r="C49" s="40" t="s">
        <v>120</v>
      </c>
    </row>
    <row r="50" spans="2:13" ht="85" x14ac:dyDescent="0.2">
      <c r="B50" s="12"/>
      <c r="C50" s="13" t="s">
        <v>46</v>
      </c>
      <c r="D50" s="13" t="s">
        <v>47</v>
      </c>
      <c r="E50" s="13" t="s">
        <v>48</v>
      </c>
    </row>
    <row r="51" spans="2:13" x14ac:dyDescent="0.2">
      <c r="B51" s="12" t="s">
        <v>49</v>
      </c>
      <c r="C51" s="12"/>
      <c r="D51" s="12"/>
      <c r="E51" s="44">
        <f>E35*13*1.3</f>
        <v>33.800000000000004</v>
      </c>
    </row>
    <row r="52" spans="2:13" x14ac:dyDescent="0.2">
      <c r="B52" s="12" t="s">
        <v>50</v>
      </c>
      <c r="C52" s="43">
        <f>($E$28*60)+($E$26*70)+($E$27*90)</f>
        <v>70</v>
      </c>
      <c r="D52" s="44">
        <f>$E$24</f>
        <v>11.760000000000002</v>
      </c>
      <c r="E52" s="12"/>
    </row>
    <row r="53" spans="2:13" x14ac:dyDescent="0.2">
      <c r="B53" s="12" t="s">
        <v>51</v>
      </c>
      <c r="C53" s="43">
        <f>($E$28*60)+($E$26*70)+($E$27*90)</f>
        <v>70</v>
      </c>
      <c r="D53" s="44">
        <f>$E$24</f>
        <v>11.760000000000002</v>
      </c>
      <c r="E53" s="12"/>
      <c r="I53" s="6"/>
      <c r="J53" s="6"/>
      <c r="K53" s="108"/>
    </row>
    <row r="54" spans="2:13" x14ac:dyDescent="0.2">
      <c r="B54" s="12" t="s">
        <v>52</v>
      </c>
      <c r="C54" s="43">
        <f>($E$28*60)+($E$26*70)+($E$27*90)</f>
        <v>70</v>
      </c>
      <c r="D54" s="44">
        <f>$E$24</f>
        <v>11.760000000000002</v>
      </c>
      <c r="E54" s="12"/>
      <c r="I54" s="6"/>
      <c r="J54" s="6"/>
      <c r="K54" s="108"/>
      <c r="M54" s="86"/>
    </row>
    <row r="55" spans="2:13" x14ac:dyDescent="0.2">
      <c r="B55" s="12" t="s">
        <v>53</v>
      </c>
      <c r="C55" s="43">
        <f>($E$30*70)+($E$31*90)+($E$32*60)</f>
        <v>70</v>
      </c>
      <c r="D55" s="44">
        <f>$E$24</f>
        <v>11.760000000000002</v>
      </c>
      <c r="E55" s="12"/>
      <c r="I55" s="6"/>
      <c r="J55" s="6"/>
      <c r="K55" s="108"/>
      <c r="M55" s="86"/>
    </row>
    <row r="56" spans="2:13" x14ac:dyDescent="0.2">
      <c r="B56" s="12" t="s">
        <v>54</v>
      </c>
      <c r="C56" s="43">
        <f>($E$30*70)+($E$31*90)+($E$32*60)</f>
        <v>70</v>
      </c>
      <c r="D56" s="44">
        <f t="shared" ref="D56" si="0">$E$24</f>
        <v>11.760000000000002</v>
      </c>
      <c r="E56" s="12"/>
      <c r="I56" s="6"/>
      <c r="J56" s="6"/>
      <c r="K56" s="108"/>
      <c r="M56" s="86"/>
    </row>
    <row r="57" spans="2:13" x14ac:dyDescent="0.2">
      <c r="B57" s="12" t="s">
        <v>55</v>
      </c>
      <c r="C57" s="43"/>
      <c r="D57" s="44"/>
      <c r="E57" s="12"/>
      <c r="I57" s="6"/>
      <c r="J57" s="6"/>
      <c r="K57" s="108"/>
      <c r="M57" s="86"/>
    </row>
    <row r="58" spans="2:13" x14ac:dyDescent="0.2">
      <c r="B58" s="12" t="s">
        <v>56</v>
      </c>
      <c r="C58" s="43"/>
      <c r="D58" s="44"/>
      <c r="E58" s="12"/>
      <c r="G58" s="91" t="s">
        <v>239</v>
      </c>
      <c r="I58" s="6"/>
      <c r="J58" s="6"/>
      <c r="K58" s="108"/>
      <c r="M58" s="86"/>
    </row>
    <row r="59" spans="2:13" x14ac:dyDescent="0.2">
      <c r="B59" s="12" t="s">
        <v>57</v>
      </c>
      <c r="C59" s="43"/>
      <c r="D59" s="44"/>
      <c r="E59" s="12"/>
      <c r="G59" s="90">
        <f>C62+D62+E62</f>
        <v>442.6</v>
      </c>
      <c r="I59" s="6"/>
      <c r="J59" s="6"/>
      <c r="K59" s="108"/>
      <c r="M59" s="86"/>
    </row>
    <row r="60" spans="2:13" x14ac:dyDescent="0.2">
      <c r="B60" s="12" t="s">
        <v>58</v>
      </c>
      <c r="C60" s="43"/>
      <c r="D60" s="44"/>
      <c r="E60" s="12"/>
      <c r="I60" s="6"/>
      <c r="J60" s="6"/>
      <c r="K60" s="108"/>
      <c r="M60" s="86"/>
    </row>
    <row r="61" spans="2:13" x14ac:dyDescent="0.2">
      <c r="B61" s="14" t="s">
        <v>59</v>
      </c>
      <c r="C61" s="43"/>
      <c r="D61" s="44"/>
      <c r="E61" s="14"/>
      <c r="G61" s="76" t="s">
        <v>62</v>
      </c>
      <c r="I61" s="6"/>
      <c r="J61" s="6"/>
      <c r="K61" s="108"/>
      <c r="M61" s="86"/>
    </row>
    <row r="62" spans="2:13" x14ac:dyDescent="0.2">
      <c r="B62" s="12" t="s">
        <v>25</v>
      </c>
      <c r="C62" s="63">
        <f>SUM(C51:C61)</f>
        <v>350</v>
      </c>
      <c r="D62" s="63">
        <f t="shared" ref="D62:E62" si="1">SUM(D51:D61)</f>
        <v>58.800000000000011</v>
      </c>
      <c r="E62" s="64">
        <f t="shared" si="1"/>
        <v>33.800000000000004</v>
      </c>
      <c r="G62" s="76">
        <f>SUM(C62:D62)</f>
        <v>408.8</v>
      </c>
      <c r="I62" s="6"/>
      <c r="J62" s="6"/>
      <c r="K62" s="108"/>
      <c r="M62" s="86"/>
    </row>
    <row r="64" spans="2:13" x14ac:dyDescent="0.2">
      <c r="B64" s="16" t="s">
        <v>70</v>
      </c>
      <c r="C64" s="16"/>
      <c r="D64" s="16"/>
      <c r="E64" s="16"/>
      <c r="F64" s="16"/>
    </row>
    <row r="66" spans="2:7" x14ac:dyDescent="0.2">
      <c r="B66" t="s">
        <v>108</v>
      </c>
      <c r="E66" s="58">
        <f>E47/C62</f>
        <v>38383.19668205714</v>
      </c>
    </row>
    <row r="67" spans="2:7" x14ac:dyDescent="0.2">
      <c r="B67" s="40" t="s">
        <v>127</v>
      </c>
      <c r="C67" s="40"/>
      <c r="D67" s="40"/>
      <c r="E67" s="88">
        <f>E66*90*D67</f>
        <v>0</v>
      </c>
      <c r="G67" s="35" t="s">
        <v>223</v>
      </c>
    </row>
    <row r="68" spans="2:7" x14ac:dyDescent="0.2">
      <c r="B68" s="40" t="s">
        <v>128</v>
      </c>
      <c r="C68" s="40"/>
      <c r="D68" s="52">
        <v>1</v>
      </c>
      <c r="E68" s="88">
        <f>E66*70*D68</f>
        <v>2686823.7677439996</v>
      </c>
      <c r="G68" s="109">
        <v>1020000</v>
      </c>
    </row>
    <row r="69" spans="2:7" x14ac:dyDescent="0.2">
      <c r="B69" s="40" t="s">
        <v>110</v>
      </c>
      <c r="C69" s="40"/>
      <c r="D69" s="74"/>
      <c r="E69" s="88">
        <f>E66*60*D69</f>
        <v>0</v>
      </c>
      <c r="G69" s="109">
        <v>2040000</v>
      </c>
    </row>
  </sheetData>
  <mergeCells count="7">
    <mergeCell ref="G38:G39"/>
    <mergeCell ref="A27:A30"/>
    <mergeCell ref="G5:G6"/>
    <mergeCell ref="B25:C25"/>
    <mergeCell ref="B29:C29"/>
    <mergeCell ref="B18:C18"/>
    <mergeCell ref="B22:C22"/>
  </mergeCells>
  <pageMargins left="0.7" right="0.7" top="0.75" bottom="0.75" header="0.3" footer="0.3"/>
  <pageSetup scale="55" fitToWidth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N64"/>
  <sheetViews>
    <sheetView zoomScale="74" zoomScaleNormal="80" workbookViewId="0">
      <selection activeCell="D3" sqref="D3"/>
    </sheetView>
  </sheetViews>
  <sheetFormatPr baseColWidth="10" defaultRowHeight="16" x14ac:dyDescent="0.2"/>
  <cols>
    <col min="1" max="1" width="7.1640625" customWidth="1"/>
    <col min="2" max="3" width="20.6640625" customWidth="1"/>
    <col min="4" max="4" width="8.83203125" customWidth="1"/>
    <col min="5" max="5" width="25.5" customWidth="1"/>
    <col min="7" max="8" width="43.33203125" customWidth="1"/>
    <col min="9" max="9" width="20.6640625" customWidth="1"/>
    <col min="10" max="10" width="21.33203125" customWidth="1"/>
    <col min="11" max="11" width="18.6640625" customWidth="1"/>
    <col min="12" max="12" width="17.83203125" customWidth="1"/>
    <col min="13" max="13" width="18.33203125" customWidth="1"/>
    <col min="14" max="14" width="18.83203125" customWidth="1"/>
  </cols>
  <sheetData>
    <row r="1" spans="1:7" x14ac:dyDescent="0.2">
      <c r="A1" s="40" t="s">
        <v>28</v>
      </c>
      <c r="B1" s="41" t="s">
        <v>268</v>
      </c>
      <c r="C1" s="41"/>
      <c r="D1" s="42" t="s">
        <v>92</v>
      </c>
    </row>
    <row r="2" spans="1:7" x14ac:dyDescent="0.2">
      <c r="B2" s="40" t="s">
        <v>136</v>
      </c>
      <c r="C2" s="40"/>
      <c r="D2" s="42" t="s">
        <v>228</v>
      </c>
    </row>
    <row r="4" spans="1:7" x14ac:dyDescent="0.2">
      <c r="B4" s="16" t="s">
        <v>63</v>
      </c>
      <c r="C4" s="16"/>
      <c r="D4" s="16"/>
      <c r="E4" s="16"/>
      <c r="F4" s="16"/>
      <c r="G4" s="16"/>
    </row>
    <row r="5" spans="1:7" x14ac:dyDescent="0.2">
      <c r="B5" t="s">
        <v>111</v>
      </c>
      <c r="E5" s="2">
        <v>261</v>
      </c>
      <c r="F5" t="s">
        <v>0</v>
      </c>
      <c r="G5" s="141" t="s">
        <v>60</v>
      </c>
    </row>
    <row r="6" spans="1:7" x14ac:dyDescent="0.2">
      <c r="B6" t="s">
        <v>30</v>
      </c>
      <c r="E6" s="2">
        <v>0.8</v>
      </c>
      <c r="G6" s="141"/>
    </row>
    <row r="7" spans="1:7" x14ac:dyDescent="0.2">
      <c r="B7" t="s">
        <v>31</v>
      </c>
      <c r="E7" s="2">
        <v>4.8</v>
      </c>
    </row>
    <row r="8" spans="1:7" x14ac:dyDescent="0.2">
      <c r="B8" t="s">
        <v>93</v>
      </c>
      <c r="E8" s="2">
        <v>1.6</v>
      </c>
    </row>
    <row r="9" spans="1:7" x14ac:dyDescent="0.2">
      <c r="B9" t="s">
        <v>33</v>
      </c>
      <c r="E9" s="2" t="s">
        <v>113</v>
      </c>
      <c r="F9" t="s">
        <v>34</v>
      </c>
    </row>
    <row r="10" spans="1:7" x14ac:dyDescent="0.2">
      <c r="B10" t="s">
        <v>95</v>
      </c>
      <c r="E10" s="2" t="s">
        <v>138</v>
      </c>
    </row>
    <row r="11" spans="1:7" x14ac:dyDescent="0.2">
      <c r="B11" t="s">
        <v>116</v>
      </c>
      <c r="E11" s="2" t="s">
        <v>137</v>
      </c>
      <c r="F11" t="s">
        <v>34</v>
      </c>
      <c r="G11" s="46"/>
    </row>
    <row r="12" spans="1:7" ht="34" x14ac:dyDescent="0.2">
      <c r="B12" t="s">
        <v>35</v>
      </c>
      <c r="E12" s="45" t="s">
        <v>117</v>
      </c>
      <c r="G12" s="46"/>
    </row>
    <row r="13" spans="1:7" x14ac:dyDescent="0.2">
      <c r="B13" t="s">
        <v>36</v>
      </c>
      <c r="E13">
        <v>0</v>
      </c>
      <c r="F13" t="s">
        <v>34</v>
      </c>
    </row>
    <row r="14" spans="1:7" x14ac:dyDescent="0.2">
      <c r="B14" t="s">
        <v>37</v>
      </c>
      <c r="E14">
        <v>0</v>
      </c>
      <c r="F14" t="s">
        <v>34</v>
      </c>
    </row>
    <row r="15" spans="1:7" x14ac:dyDescent="0.2">
      <c r="B15" t="s">
        <v>38</v>
      </c>
      <c r="E15">
        <v>3</v>
      </c>
      <c r="F15" t="s">
        <v>34</v>
      </c>
    </row>
    <row r="16" spans="1:7" x14ac:dyDescent="0.2">
      <c r="B16" t="s">
        <v>96</v>
      </c>
      <c r="E16" s="2" t="s">
        <v>118</v>
      </c>
    </row>
    <row r="18" spans="2:14" ht="37.5" customHeight="1" x14ac:dyDescent="0.2">
      <c r="B18" s="142" t="s">
        <v>119</v>
      </c>
      <c r="C18" s="142"/>
      <c r="E18" s="11">
        <f>E5*E6</f>
        <v>208.8</v>
      </c>
      <c r="F18" t="s">
        <v>0</v>
      </c>
      <c r="G18" s="46"/>
    </row>
    <row r="19" spans="2:14" x14ac:dyDescent="0.2">
      <c r="B19" t="s">
        <v>94</v>
      </c>
      <c r="E19" s="40">
        <f>E5*(E7+E8)</f>
        <v>1670.4</v>
      </c>
      <c r="F19" t="s">
        <v>0</v>
      </c>
    </row>
    <row r="20" spans="2:14" x14ac:dyDescent="0.2">
      <c r="B20" t="s">
        <v>39</v>
      </c>
      <c r="D20" s="11">
        <f>E19/E18</f>
        <v>8</v>
      </c>
      <c r="E20" s="11">
        <f>D20</f>
        <v>8</v>
      </c>
      <c r="F20" t="s">
        <v>40</v>
      </c>
      <c r="G20" s="46"/>
    </row>
    <row r="21" spans="2:14" x14ac:dyDescent="0.2">
      <c r="B21" t="s">
        <v>101</v>
      </c>
      <c r="E21">
        <f>E20*3</f>
        <v>24</v>
      </c>
      <c r="F21" t="s">
        <v>34</v>
      </c>
      <c r="G21" s="46"/>
      <c r="H21" t="s">
        <v>106</v>
      </c>
    </row>
    <row r="22" spans="2:14" x14ac:dyDescent="0.2">
      <c r="B22" t="s">
        <v>61</v>
      </c>
      <c r="D22" s="4">
        <v>0.1</v>
      </c>
      <c r="E22" s="11">
        <f>E18*0.1</f>
        <v>20.880000000000003</v>
      </c>
      <c r="F22" t="s">
        <v>0</v>
      </c>
      <c r="G22" s="59"/>
    </row>
    <row r="23" spans="2:14" ht="49.5" customHeight="1" x14ac:dyDescent="0.2">
      <c r="B23" s="143" t="s">
        <v>121</v>
      </c>
      <c r="C23" s="143"/>
      <c r="D23" s="49">
        <v>8</v>
      </c>
      <c r="E23" s="51">
        <f>E18-E22</f>
        <v>187.92000000000002</v>
      </c>
      <c r="F23" s="49" t="s">
        <v>0</v>
      </c>
      <c r="G23" s="46"/>
    </row>
    <row r="24" spans="2:14" ht="17" x14ac:dyDescent="0.2">
      <c r="B24" s="5"/>
      <c r="C24" s="5"/>
      <c r="E24" s="11"/>
      <c r="G24" s="87" t="s">
        <v>233</v>
      </c>
    </row>
    <row r="25" spans="2:14" x14ac:dyDescent="0.2">
      <c r="B25" t="s">
        <v>122</v>
      </c>
      <c r="D25" s="11">
        <f>E23/70</f>
        <v>2.6845714285714286</v>
      </c>
      <c r="E25">
        <v>2</v>
      </c>
      <c r="F25" s="41">
        <f>D23*E25</f>
        <v>16</v>
      </c>
      <c r="G25" s="86">
        <f>F25</f>
        <v>16</v>
      </c>
    </row>
    <row r="26" spans="2:14" x14ac:dyDescent="0.2">
      <c r="B26" t="s">
        <v>141</v>
      </c>
      <c r="D26">
        <f>E23/90</f>
        <v>2.0880000000000001</v>
      </c>
      <c r="E26" s="2"/>
      <c r="F26" s="41">
        <f>D23*E26</f>
        <v>0</v>
      </c>
      <c r="G26" s="86">
        <f t="shared" ref="G26:G27" si="0">F26</f>
        <v>0</v>
      </c>
    </row>
    <row r="27" spans="2:14" x14ac:dyDescent="0.2">
      <c r="B27" t="s">
        <v>125</v>
      </c>
      <c r="E27" s="2"/>
      <c r="F27" s="41">
        <f>D23*E27</f>
        <v>0</v>
      </c>
      <c r="G27" s="86">
        <f t="shared" si="0"/>
        <v>0</v>
      </c>
    </row>
    <row r="28" spans="2:14" x14ac:dyDescent="0.2">
      <c r="E28" s="2"/>
      <c r="G28" s="46"/>
    </row>
    <row r="29" spans="2:14" x14ac:dyDescent="0.2">
      <c r="B29" s="40" t="s">
        <v>123</v>
      </c>
      <c r="C29" s="40"/>
      <c r="D29" s="40"/>
      <c r="E29" s="56">
        <f>(E25*E20)+(E26*E20)+(E27*E20)</f>
        <v>16</v>
      </c>
    </row>
    <row r="30" spans="2:14" x14ac:dyDescent="0.2">
      <c r="B30" t="s">
        <v>126</v>
      </c>
      <c r="D30" s="11">
        <f>E29*0.25</f>
        <v>4</v>
      </c>
      <c r="E30">
        <v>8</v>
      </c>
    </row>
    <row r="31" spans="2:14" x14ac:dyDescent="0.2">
      <c r="G31" s="136" t="s">
        <v>104</v>
      </c>
    </row>
    <row r="32" spans="2:14" x14ac:dyDescent="0.2">
      <c r="B32" s="16" t="s">
        <v>64</v>
      </c>
      <c r="C32" s="16"/>
      <c r="D32" s="16"/>
      <c r="E32" s="16"/>
      <c r="F32" s="16"/>
      <c r="G32" s="136"/>
      <c r="H32" s="40"/>
      <c r="I32" s="40"/>
      <c r="J32" s="40"/>
      <c r="K32" s="40"/>
      <c r="L32" s="40"/>
      <c r="M32" s="40"/>
      <c r="N32" s="40"/>
    </row>
    <row r="34" spans="2:13" x14ac:dyDescent="0.2">
      <c r="B34" t="s">
        <v>28</v>
      </c>
      <c r="E34" s="62">
        <v>6250000</v>
      </c>
      <c r="G34" s="40"/>
    </row>
    <row r="35" spans="2:13" x14ac:dyDescent="0.2">
      <c r="B35" t="s">
        <v>107</v>
      </c>
      <c r="E35" s="84">
        <f>(E34-DATOS!L66)*DATOS!M66</f>
        <v>201375.24231000003</v>
      </c>
    </row>
    <row r="36" spans="2:13" x14ac:dyDescent="0.2">
      <c r="B36" t="s">
        <v>65</v>
      </c>
      <c r="E36" s="84">
        <f>G54*DATOS!H31</f>
        <v>23736616.704000004</v>
      </c>
      <c r="G36" s="46"/>
    </row>
    <row r="37" spans="2:13" x14ac:dyDescent="0.2">
      <c r="B37" t="s">
        <v>67</v>
      </c>
      <c r="E37" s="84">
        <f>E36*DATOS!B39</f>
        <v>1898929.3363200002</v>
      </c>
    </row>
    <row r="38" spans="2:13" x14ac:dyDescent="0.2">
      <c r="B38" t="s">
        <v>86</v>
      </c>
      <c r="E38" s="84">
        <f>E36*DATOS!B49</f>
        <v>1661563.1692800005</v>
      </c>
    </row>
    <row r="39" spans="2:13" x14ac:dyDescent="0.2">
      <c r="B39" t="s">
        <v>68</v>
      </c>
      <c r="E39" s="84">
        <f>E36*DATOS!B83</f>
        <v>1542880.0857600004</v>
      </c>
    </row>
    <row r="40" spans="2:13" x14ac:dyDescent="0.2">
      <c r="B40" t="s">
        <v>129</v>
      </c>
      <c r="E40" s="84">
        <f>E36*DATOS!B91</f>
        <v>3560492.5056000003</v>
      </c>
    </row>
    <row r="41" spans="2:13" x14ac:dyDescent="0.2">
      <c r="E41" s="84"/>
    </row>
    <row r="42" spans="2:13" x14ac:dyDescent="0.2">
      <c r="B42" s="54" t="s">
        <v>69</v>
      </c>
      <c r="C42" s="54"/>
      <c r="D42" s="54"/>
      <c r="E42" s="103">
        <f>SUM(E34:E40)</f>
        <v>38851857.043269999</v>
      </c>
      <c r="M42" s="46"/>
    </row>
    <row r="43" spans="2:13" x14ac:dyDescent="0.2">
      <c r="M43" s="86"/>
    </row>
    <row r="44" spans="2:13" x14ac:dyDescent="0.2">
      <c r="B44" s="40"/>
      <c r="C44" s="40" t="s">
        <v>120</v>
      </c>
      <c r="M44" s="86"/>
    </row>
    <row r="45" spans="2:13" ht="85" x14ac:dyDescent="0.2">
      <c r="B45" s="12"/>
      <c r="C45" s="13" t="s">
        <v>46</v>
      </c>
      <c r="D45" s="13" t="s">
        <v>47</v>
      </c>
      <c r="E45" s="13" t="s">
        <v>48</v>
      </c>
      <c r="M45" s="86"/>
    </row>
    <row r="46" spans="2:13" x14ac:dyDescent="0.2">
      <c r="B46" s="12" t="s">
        <v>49</v>
      </c>
      <c r="C46" s="12"/>
      <c r="D46" s="12"/>
      <c r="E46" s="44">
        <f>E30*13*1.3</f>
        <v>135.20000000000002</v>
      </c>
      <c r="I46" s="6"/>
      <c r="J46" s="6"/>
      <c r="K46" s="108"/>
      <c r="M46" s="86"/>
    </row>
    <row r="47" spans="2:13" x14ac:dyDescent="0.2">
      <c r="B47" s="12" t="s">
        <v>50</v>
      </c>
      <c r="C47" s="43">
        <f t="shared" ref="C47:C54" si="1">($E$25*70)+($E$26*90)+($E$27*60)</f>
        <v>140</v>
      </c>
      <c r="D47" s="44">
        <f t="shared" ref="D47:D54" si="2">$E$22</f>
        <v>20.880000000000003</v>
      </c>
      <c r="E47" s="12"/>
      <c r="I47" s="6"/>
      <c r="J47" s="6"/>
      <c r="K47" s="108"/>
      <c r="M47" s="86"/>
    </row>
    <row r="48" spans="2:13" x14ac:dyDescent="0.2">
      <c r="B48" s="12" t="s">
        <v>51</v>
      </c>
      <c r="C48" s="43">
        <f t="shared" si="1"/>
        <v>140</v>
      </c>
      <c r="D48" s="44">
        <f t="shared" si="2"/>
        <v>20.880000000000003</v>
      </c>
      <c r="E48" s="12"/>
      <c r="I48" s="6"/>
      <c r="J48" s="6"/>
      <c r="K48" s="108"/>
      <c r="M48" s="86"/>
    </row>
    <row r="49" spans="2:13" x14ac:dyDescent="0.2">
      <c r="B49" s="12" t="s">
        <v>52</v>
      </c>
      <c r="C49" s="43">
        <f t="shared" si="1"/>
        <v>140</v>
      </c>
      <c r="D49" s="44">
        <f t="shared" si="2"/>
        <v>20.880000000000003</v>
      </c>
      <c r="E49" s="12"/>
      <c r="I49" s="6"/>
      <c r="J49" s="6"/>
      <c r="K49" s="108"/>
      <c r="M49" s="86"/>
    </row>
    <row r="50" spans="2:13" x14ac:dyDescent="0.2">
      <c r="B50" s="12" t="s">
        <v>53</v>
      </c>
      <c r="C50" s="43">
        <f t="shared" si="1"/>
        <v>140</v>
      </c>
      <c r="D50" s="44">
        <f t="shared" si="2"/>
        <v>20.880000000000003</v>
      </c>
      <c r="E50" s="12"/>
      <c r="I50" s="6"/>
      <c r="J50" s="6"/>
      <c r="K50" s="108"/>
      <c r="M50" s="86"/>
    </row>
    <row r="51" spans="2:13" x14ac:dyDescent="0.2">
      <c r="B51" s="12" t="s">
        <v>54</v>
      </c>
      <c r="C51" s="43">
        <f t="shared" si="1"/>
        <v>140</v>
      </c>
      <c r="D51" s="44">
        <f t="shared" si="2"/>
        <v>20.880000000000003</v>
      </c>
      <c r="E51" s="12"/>
      <c r="I51" s="6"/>
      <c r="J51" s="6"/>
      <c r="K51" s="108"/>
      <c r="M51" s="86"/>
    </row>
    <row r="52" spans="2:13" x14ac:dyDescent="0.2">
      <c r="B52" s="12" t="s">
        <v>55</v>
      </c>
      <c r="C52" s="43">
        <f t="shared" si="1"/>
        <v>140</v>
      </c>
      <c r="D52" s="44">
        <f t="shared" si="2"/>
        <v>20.880000000000003</v>
      </c>
      <c r="E52" s="12"/>
      <c r="I52" s="6"/>
      <c r="J52" s="6"/>
      <c r="K52" s="108"/>
      <c r="M52" s="86"/>
    </row>
    <row r="53" spans="2:13" x14ac:dyDescent="0.2">
      <c r="B53" s="12" t="s">
        <v>56</v>
      </c>
      <c r="C53" s="43">
        <f t="shared" si="1"/>
        <v>140</v>
      </c>
      <c r="D53" s="44">
        <f t="shared" si="2"/>
        <v>20.880000000000003</v>
      </c>
      <c r="E53" s="12"/>
      <c r="G53" s="91" t="s">
        <v>239</v>
      </c>
      <c r="I53" s="6"/>
      <c r="J53" s="6"/>
      <c r="K53" s="108"/>
      <c r="M53" s="86"/>
    </row>
    <row r="54" spans="2:13" x14ac:dyDescent="0.2">
      <c r="B54" s="12" t="s">
        <v>57</v>
      </c>
      <c r="C54" s="43">
        <f t="shared" si="1"/>
        <v>140</v>
      </c>
      <c r="D54" s="44">
        <f t="shared" si="2"/>
        <v>20.880000000000003</v>
      </c>
      <c r="E54" s="12"/>
      <c r="G54" s="90">
        <f>C57+D57+E57</f>
        <v>1422.24</v>
      </c>
      <c r="I54" s="6"/>
      <c r="J54" s="6"/>
      <c r="K54" s="108"/>
      <c r="M54" s="86"/>
    </row>
    <row r="55" spans="2:13" x14ac:dyDescent="0.2">
      <c r="B55" s="12"/>
      <c r="C55" s="43"/>
      <c r="D55" s="44"/>
      <c r="E55" s="12"/>
      <c r="I55" s="6"/>
      <c r="J55" s="6"/>
      <c r="K55" s="108"/>
      <c r="M55" s="86"/>
    </row>
    <row r="56" spans="2:13" x14ac:dyDescent="0.2">
      <c r="B56" s="14"/>
      <c r="C56" s="43"/>
      <c r="D56" s="44"/>
      <c r="E56" s="14"/>
      <c r="G56" s="76" t="s">
        <v>62</v>
      </c>
      <c r="I56" s="6"/>
      <c r="J56" s="6"/>
      <c r="K56" s="108"/>
      <c r="M56" s="86"/>
    </row>
    <row r="57" spans="2:13" x14ac:dyDescent="0.2">
      <c r="B57" s="12" t="s">
        <v>25</v>
      </c>
      <c r="C57" s="63">
        <f>SUM(C46:C56)</f>
        <v>1120</v>
      </c>
      <c r="D57" s="63">
        <f t="shared" ref="D57:E57" si="3">SUM(D46:D56)</f>
        <v>167.04</v>
      </c>
      <c r="E57" s="64">
        <f t="shared" si="3"/>
        <v>135.20000000000002</v>
      </c>
      <c r="G57" s="76">
        <f>SUM(C57:D57)</f>
        <v>1287.04</v>
      </c>
      <c r="I57" s="6"/>
      <c r="J57" s="6"/>
      <c r="K57" s="108"/>
      <c r="M57" s="86"/>
    </row>
    <row r="59" spans="2:13" x14ac:dyDescent="0.2">
      <c r="B59" s="16" t="s">
        <v>70</v>
      </c>
      <c r="C59" s="16"/>
      <c r="D59" s="16"/>
      <c r="E59" s="16"/>
      <c r="F59" s="16"/>
    </row>
    <row r="61" spans="2:13" x14ac:dyDescent="0.2">
      <c r="B61" t="s">
        <v>108</v>
      </c>
      <c r="E61" s="58">
        <f>E42/C57</f>
        <v>34689.158074348212</v>
      </c>
    </row>
    <row r="62" spans="2:13" x14ac:dyDescent="0.2">
      <c r="B62" s="40" t="s">
        <v>127</v>
      </c>
      <c r="C62" s="40"/>
      <c r="D62" s="65"/>
      <c r="E62" s="88">
        <f>$E$61*90*D62</f>
        <v>0</v>
      </c>
      <c r="G62" s="35" t="s">
        <v>223</v>
      </c>
    </row>
    <row r="63" spans="2:13" x14ac:dyDescent="0.2">
      <c r="B63" s="40" t="s">
        <v>128</v>
      </c>
      <c r="C63" s="40"/>
      <c r="D63" s="66">
        <v>1</v>
      </c>
      <c r="E63" s="88">
        <f>$E$61*70*D63</f>
        <v>2428241.065204375</v>
      </c>
      <c r="G63" s="109">
        <v>1020000</v>
      </c>
    </row>
    <row r="64" spans="2:13" x14ac:dyDescent="0.2">
      <c r="B64" s="40" t="s">
        <v>110</v>
      </c>
      <c r="C64" s="40"/>
      <c r="D64" s="65">
        <v>0</v>
      </c>
      <c r="E64" s="88">
        <f>$E$61*60*D64</f>
        <v>0</v>
      </c>
      <c r="G64" s="109">
        <v>2040000</v>
      </c>
    </row>
  </sheetData>
  <mergeCells count="4">
    <mergeCell ref="G31:G32"/>
    <mergeCell ref="G5:G6"/>
    <mergeCell ref="B23:C23"/>
    <mergeCell ref="B18:C18"/>
  </mergeCells>
  <pageMargins left="0.7" right="0.7" top="0.75" bottom="0.75" header="0.3" footer="0.3"/>
  <pageSetup scale="60" fitToWidth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Concentrado</vt:lpstr>
      <vt:lpstr>DATOS</vt:lpstr>
      <vt:lpstr>A 01</vt:lpstr>
      <vt:lpstr>A 02</vt:lpstr>
      <vt:lpstr>A 03</vt:lpstr>
      <vt:lpstr>A 04</vt:lpstr>
      <vt:lpstr>A 05</vt:lpstr>
      <vt:lpstr>A 06</vt:lpstr>
      <vt:lpstr>A 07</vt:lpstr>
      <vt:lpstr>A 08</vt:lpstr>
      <vt:lpstr>A 09</vt:lpstr>
      <vt:lpstr>A 10</vt:lpstr>
      <vt:lpstr>A 11</vt:lpstr>
      <vt:lpstr>A 12</vt:lpstr>
      <vt:lpstr>B 01</vt:lpstr>
      <vt:lpstr>B 02</vt:lpstr>
      <vt:lpstr>B 03</vt:lpstr>
      <vt:lpstr>B 04</vt:lpstr>
      <vt:lpstr>B 05</vt:lpstr>
      <vt:lpstr>B 06</vt:lpstr>
      <vt:lpstr>C 01</vt:lpstr>
      <vt:lpstr>C 02</vt:lpstr>
      <vt:lpstr>C 03</vt:lpstr>
      <vt:lpstr>D 01</vt:lpstr>
      <vt:lpstr>D 02</vt:lpstr>
      <vt:lpstr>D 03</vt:lpstr>
      <vt:lpstr>D 04</vt:lpstr>
      <vt:lpstr>E 01</vt:lpstr>
      <vt:lpstr>E 02</vt:lpstr>
      <vt:lpstr>E 03</vt:lpstr>
      <vt:lpstr>F 01</vt:lpstr>
      <vt:lpstr>F 02</vt:lpstr>
      <vt:lpstr>F 03</vt:lpstr>
      <vt:lpstr>F 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JOYA ARELLANO, ELBA CATALINA</dc:creator>
  <cp:lastModifiedBy>Microsoft Office User</cp:lastModifiedBy>
  <cp:lastPrinted>2025-05-06T21:18:54Z</cp:lastPrinted>
  <dcterms:created xsi:type="dcterms:W3CDTF">2025-04-05T21:09:41Z</dcterms:created>
  <dcterms:modified xsi:type="dcterms:W3CDTF">2025-12-07T16:10:12Z</dcterms:modified>
</cp:coreProperties>
</file>